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codeName="ThisWorkbook" defaultThemeVersion="124226"/>
  <mc:AlternateContent xmlns:mc="http://schemas.openxmlformats.org/markup-compatibility/2006">
    <mc:Choice Requires="x15">
      <x15ac:absPath xmlns:x15ac="http://schemas.microsoft.com/office/spreadsheetml/2010/11/ac" url="E:\Teletrabajo\2021.Calculadora CO2_Ministerio\2.Calculadora\"/>
    </mc:Choice>
  </mc:AlternateContent>
  <xr:revisionPtr revIDLastSave="0" documentId="13_ncr:1_{722175E7-4581-4A6E-8A7C-787DBF238DB1}" xr6:coauthVersionLast="47" xr6:coauthVersionMax="47" xr10:uidLastSave="{00000000-0000-0000-0000-000000000000}"/>
  <bookViews>
    <workbookView xWindow="-120" yWindow="-120" windowWidth="29040" windowHeight="15840" tabRatio="756" activeTab="1" xr2:uid="{00000000-000D-0000-FFFF-FFFF00000000}"/>
  </bookViews>
  <sheets>
    <sheet name="Contenido e instrucciones" sheetId="29" r:id="rId1"/>
    <sheet name="1. Datos generales proyecto" sheetId="23" r:id="rId2"/>
    <sheet name="2. Estimación absorción total" sheetId="26" r:id="rId3"/>
    <sheet name="3. Absorciones disponibles" sheetId="31" r:id="rId4"/>
    <sheet name="4. Factores de absorción" sheetId="21" r:id="rId5"/>
    <sheet name="Revisiones calculadora " sheetId="28" r:id="rId6"/>
    <sheet name="Fuentes" sheetId="3" state="hidden" r:id="rId7"/>
    <sheet name="Calculadora Abs" sheetId="13" state="hidden" r:id="rId8"/>
    <sheet name="Total especies y métodos" sheetId="1" state="hidden" r:id="rId9"/>
    <sheet name="201 IFN3_D-t IFN1" sheetId="10" state="hidden" r:id="rId10"/>
    <sheet name="Montero 2014" sheetId="7" state="hidden" r:id="rId11"/>
    <sheet name="Comparativa Montero - IPCC" sheetId="9" state="hidden" r:id="rId12"/>
    <sheet name="Alt_diám tablas producc" sheetId="11" state="hidden" r:id="rId13"/>
    <sheet name="Q.ilex_Q.suber y Larix" sheetId="30" state="hidden" r:id="rId14"/>
    <sheet name="Descartes" sheetId="2" state="hidden" r:id="rId15"/>
    <sheet name="Asimilaciones" sheetId="14" state="hidden" r:id="rId16"/>
    <sheet name="Datos" sheetId="35" state="hidden" r:id="rId17"/>
    <sheet name="Todas metodologías" sheetId="15" state="hidden" r:id="rId18"/>
  </sheets>
  <externalReferences>
    <externalReference r:id="rId19"/>
  </externalReferences>
  <definedNames>
    <definedName name="_xlnm._FilterDatabase" localSheetId="1" hidden="1">'1. Datos generales proyecto'!$W$10:$AC$11</definedName>
    <definedName name="_xlnm._FilterDatabase" localSheetId="9" hidden="1">'201 IFN3_D-t IFN1'!$A$1:$G$286</definedName>
    <definedName name="_xlnm._FilterDatabase" localSheetId="4" hidden="1">'4. Factores de absorción'!$C$102:$D$192</definedName>
    <definedName name="_xlnm._FilterDatabase" localSheetId="12" hidden="1">'Alt_diám tablas producc'!$A$1:$E$48</definedName>
    <definedName name="_xlnm._FilterDatabase" localSheetId="15" hidden="1">Asimilaciones!$D$3:$E$3</definedName>
    <definedName name="_xlnm._FilterDatabase" localSheetId="7" hidden="1">'Calculadora Abs'!$A$3:$Z$124</definedName>
    <definedName name="_xlnm._FilterDatabase" localSheetId="11" hidden="1">'Comparativa Montero - IPCC'!$A$2:$R$64</definedName>
    <definedName name="_xlnm._FilterDatabase" localSheetId="16" hidden="1">Datos!$A$3:$L$124</definedName>
    <definedName name="_xlnm._FilterDatabase" localSheetId="17" hidden="1">'Todas metodologías'!$A$3:$Z$152</definedName>
    <definedName name="_xlnm._FilterDatabase" localSheetId="8" hidden="1">'Total especies y métodos'!$A$1:$N$125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1" i="35" l="1"/>
  <c r="G81" i="35"/>
  <c r="I81" i="35"/>
  <c r="K81" i="35"/>
  <c r="E77" i="35"/>
  <c r="G77" i="35"/>
  <c r="I77" i="35"/>
  <c r="K77" i="35"/>
  <c r="E67" i="35"/>
  <c r="G67" i="35"/>
  <c r="I67" i="35"/>
  <c r="K67" i="35"/>
  <c r="E63" i="35"/>
  <c r="G63" i="35"/>
  <c r="I63" i="35"/>
  <c r="K63" i="35"/>
  <c r="E36" i="35"/>
  <c r="F36" i="35"/>
  <c r="G36" i="35"/>
  <c r="H36" i="35"/>
  <c r="I36" i="35"/>
  <c r="J36" i="35"/>
  <c r="K36" i="35"/>
  <c r="L36" i="35"/>
  <c r="D36" i="35"/>
  <c r="E113" i="35"/>
  <c r="F113" i="35"/>
  <c r="G113" i="35"/>
  <c r="H113" i="35"/>
  <c r="I113" i="35"/>
  <c r="J113" i="35"/>
  <c r="K113" i="35"/>
  <c r="L113" i="35"/>
  <c r="D113" i="35"/>
  <c r="E102" i="35"/>
  <c r="F102" i="35"/>
  <c r="G102" i="35"/>
  <c r="H102" i="35"/>
  <c r="I102" i="35"/>
  <c r="J102" i="35"/>
  <c r="K102" i="35"/>
  <c r="L102" i="35"/>
  <c r="D102" i="35"/>
  <c r="E83" i="35"/>
  <c r="G83" i="35"/>
  <c r="I83" i="35"/>
  <c r="K83" i="35"/>
  <c r="E82" i="35"/>
  <c r="G82" i="35"/>
  <c r="I82" i="35"/>
  <c r="K82" i="35"/>
  <c r="E70" i="35"/>
  <c r="G70" i="35"/>
  <c r="I70" i="35"/>
  <c r="K70" i="35"/>
  <c r="E68" i="35"/>
  <c r="G68" i="35"/>
  <c r="I68" i="35"/>
  <c r="K68" i="35"/>
  <c r="E47" i="35"/>
  <c r="F47" i="35"/>
  <c r="G47" i="35"/>
  <c r="H47" i="35"/>
  <c r="I47" i="35"/>
  <c r="J47" i="35"/>
  <c r="K47" i="35"/>
  <c r="L47" i="35"/>
  <c r="D47" i="35"/>
  <c r="C113" i="35"/>
  <c r="C102" i="35"/>
  <c r="C47" i="35"/>
  <c r="H3" i="10" l="1"/>
  <c r="H4" i="10"/>
  <c r="H5" i="10"/>
  <c r="H6" i="10"/>
  <c r="H2" i="10"/>
  <c r="AG5" i="26" l="1"/>
  <c r="AI2" i="26"/>
  <c r="H37" i="10"/>
  <c r="H38" i="10" l="1"/>
  <c r="H39" i="10"/>
  <c r="H40" i="10"/>
  <c r="H41" i="10"/>
  <c r="D76" i="1" l="1"/>
  <c r="D77" i="35" s="1"/>
  <c r="AF5" i="26"/>
  <c r="Q19" i="13" l="1"/>
  <c r="E2" i="7"/>
  <c r="AF44" i="26" l="1"/>
  <c r="G32" i="23" l="1"/>
  <c r="AB2" i="26" s="1"/>
  <c r="P23" i="23"/>
  <c r="AI1" i="26" s="1"/>
  <c r="C82" i="31"/>
  <c r="C86" i="31"/>
  <c r="C84" i="31"/>
  <c r="E86" i="31"/>
  <c r="E84" i="31"/>
  <c r="E82" i="31"/>
  <c r="L86" i="31"/>
  <c r="M86" i="31"/>
  <c r="W11" i="23"/>
  <c r="X14" i="31"/>
  <c r="Z2" i="26"/>
  <c r="E38" i="26" s="1"/>
  <c r="W18" i="31"/>
  <c r="X18" i="31"/>
  <c r="W19" i="31"/>
  <c r="X19" i="31"/>
  <c r="W20" i="31"/>
  <c r="X20" i="31"/>
  <c r="W21" i="31"/>
  <c r="X21" i="31"/>
  <c r="W22" i="31"/>
  <c r="X22" i="31"/>
  <c r="W23" i="31"/>
  <c r="X23" i="31"/>
  <c r="W24" i="31"/>
  <c r="X24" i="31"/>
  <c r="W25" i="31"/>
  <c r="X25" i="31"/>
  <c r="W26" i="31"/>
  <c r="X26" i="31"/>
  <c r="W27" i="31"/>
  <c r="X27" i="31"/>
  <c r="W28" i="31"/>
  <c r="X28" i="31"/>
  <c r="W29" i="31"/>
  <c r="X29" i="31"/>
  <c r="W30" i="31"/>
  <c r="X30" i="31"/>
  <c r="W31" i="31"/>
  <c r="X31" i="31"/>
  <c r="W32" i="31"/>
  <c r="X32" i="31"/>
  <c r="K19" i="31"/>
  <c r="K20" i="31"/>
  <c r="K21" i="31"/>
  <c r="K22" i="31"/>
  <c r="K23" i="31"/>
  <c r="K24" i="31"/>
  <c r="K25" i="31"/>
  <c r="K26" i="31"/>
  <c r="K27" i="31"/>
  <c r="K28" i="31"/>
  <c r="K29" i="31"/>
  <c r="K30" i="31"/>
  <c r="K31" i="31"/>
  <c r="K32" i="31"/>
  <c r="K18" i="31"/>
  <c r="J19" i="31"/>
  <c r="J20" i="31"/>
  <c r="J21" i="31"/>
  <c r="J22" i="31"/>
  <c r="J23" i="31"/>
  <c r="J24" i="31"/>
  <c r="J25" i="31"/>
  <c r="J26" i="31"/>
  <c r="J27" i="31"/>
  <c r="J28" i="31"/>
  <c r="J29" i="31"/>
  <c r="J30" i="31"/>
  <c r="J31" i="31"/>
  <c r="J32" i="31"/>
  <c r="J18" i="31"/>
  <c r="D19" i="31"/>
  <c r="D20" i="31"/>
  <c r="D21" i="31"/>
  <c r="D22" i="31"/>
  <c r="D23" i="31"/>
  <c r="D24" i="31"/>
  <c r="D25" i="31"/>
  <c r="D26" i="31"/>
  <c r="D27" i="31"/>
  <c r="D28" i="31"/>
  <c r="D29" i="31"/>
  <c r="D30" i="31"/>
  <c r="D31" i="31"/>
  <c r="D32" i="31"/>
  <c r="D18" i="31"/>
  <c r="AK15" i="31"/>
  <c r="AE15" i="31"/>
  <c r="AF49" i="26"/>
  <c r="AG49" i="26" s="1"/>
  <c r="AF48" i="26"/>
  <c r="AF50" i="26"/>
  <c r="AF51" i="26"/>
  <c r="AF52" i="26"/>
  <c r="AF53" i="26"/>
  <c r="AF54" i="26"/>
  <c r="AF55" i="26"/>
  <c r="AF56" i="26"/>
  <c r="AF57" i="26"/>
  <c r="AF58" i="26"/>
  <c r="AF19" i="26"/>
  <c r="AF6" i="26"/>
  <c r="AF7" i="26"/>
  <c r="AF8" i="26"/>
  <c r="AF9" i="26"/>
  <c r="AF10" i="26"/>
  <c r="AF11" i="26"/>
  <c r="AF12" i="26"/>
  <c r="AG12" i="26"/>
  <c r="AF13" i="26"/>
  <c r="AF14" i="26"/>
  <c r="AG14" i="26"/>
  <c r="AF15" i="26"/>
  <c r="AG15" i="26"/>
  <c r="AK15" i="26" s="1"/>
  <c r="G30" i="26" s="1"/>
  <c r="AF16" i="26"/>
  <c r="AG16" i="26"/>
  <c r="AF17" i="26"/>
  <c r="AF18" i="26"/>
  <c r="AG18" i="26"/>
  <c r="AG57" i="26"/>
  <c r="AH57" i="26" s="1"/>
  <c r="AJ3" i="23"/>
  <c r="K6" i="31" s="1"/>
  <c r="AJ6" i="23"/>
  <c r="T8" i="31" s="1"/>
  <c r="AJ5" i="23"/>
  <c r="T6" i="31" s="1"/>
  <c r="AJ4" i="23"/>
  <c r="K8" i="31" s="1"/>
  <c r="L46" i="1"/>
  <c r="K46" i="1"/>
  <c r="J46" i="1"/>
  <c r="I46" i="1"/>
  <c r="H46" i="1"/>
  <c r="G46" i="1"/>
  <c r="F46" i="1"/>
  <c r="E46" i="1"/>
  <c r="D46" i="1"/>
  <c r="C46" i="1"/>
  <c r="L102" i="1"/>
  <c r="K102" i="1"/>
  <c r="J102" i="1"/>
  <c r="I102" i="1"/>
  <c r="H102" i="1"/>
  <c r="G102" i="1"/>
  <c r="F102" i="1"/>
  <c r="E102" i="1"/>
  <c r="D102" i="1"/>
  <c r="C102" i="1"/>
  <c r="L114" i="1"/>
  <c r="K114" i="1"/>
  <c r="J114" i="1"/>
  <c r="I114" i="1"/>
  <c r="H114" i="1"/>
  <c r="G114" i="1"/>
  <c r="F114" i="1"/>
  <c r="E114" i="1"/>
  <c r="D114" i="1"/>
  <c r="C114" i="1"/>
  <c r="D141" i="15"/>
  <c r="E141" i="15"/>
  <c r="G141" i="15"/>
  <c r="H141" i="15"/>
  <c r="J141" i="15"/>
  <c r="K141" i="15"/>
  <c r="L141" i="15"/>
  <c r="S141" i="15" s="1"/>
  <c r="X141" i="15" s="1"/>
  <c r="F127" i="15"/>
  <c r="J127" i="15"/>
  <c r="C127" i="15"/>
  <c r="D55" i="15"/>
  <c r="H55" i="15"/>
  <c r="Q55" i="15" s="1"/>
  <c r="V55" i="15" s="1"/>
  <c r="L55" i="15"/>
  <c r="S55" i="15" s="1"/>
  <c r="X55" i="15" s="1"/>
  <c r="AC2" i="26"/>
  <c r="AD2" i="26"/>
  <c r="AM4" i="26" s="1"/>
  <c r="E52" i="31" s="1"/>
  <c r="AE2" i="26"/>
  <c r="AF2" i="26"/>
  <c r="AM6" i="26" s="1"/>
  <c r="E54" i="31" s="1"/>
  <c r="AI16" i="31" s="1"/>
  <c r="AO16" i="31" s="1"/>
  <c r="AU17" i="31" s="1"/>
  <c r="AG19" i="26"/>
  <c r="AG6" i="23"/>
  <c r="AG5" i="23"/>
  <c r="AG4" i="23"/>
  <c r="AG3" i="23"/>
  <c r="AF45" i="26"/>
  <c r="AF46" i="26"/>
  <c r="AG46" i="26"/>
  <c r="AM46" i="26" s="1"/>
  <c r="AF47" i="26"/>
  <c r="AG47" i="26" s="1"/>
  <c r="AG50" i="26"/>
  <c r="AG51" i="26"/>
  <c r="AL51" i="26" s="1"/>
  <c r="AG52" i="26"/>
  <c r="AG53" i="26"/>
  <c r="AN53" i="26" s="1"/>
  <c r="AO53" i="26" s="1"/>
  <c r="AG54" i="26"/>
  <c r="AM54" i="26" s="1"/>
  <c r="AG55" i="26"/>
  <c r="AG56" i="26"/>
  <c r="C142" i="15"/>
  <c r="C23" i="15"/>
  <c r="C24" i="15" s="1"/>
  <c r="C15" i="15"/>
  <c r="D12" i="15"/>
  <c r="E12" i="15"/>
  <c r="F12" i="15"/>
  <c r="G12" i="15"/>
  <c r="H12" i="15"/>
  <c r="I12" i="15"/>
  <c r="J12" i="15"/>
  <c r="K12" i="15"/>
  <c r="L12" i="15"/>
  <c r="C16" i="11"/>
  <c r="C44" i="9" s="1"/>
  <c r="I44" i="9" s="1"/>
  <c r="D16" i="11"/>
  <c r="D44" i="9" s="1"/>
  <c r="C17" i="11"/>
  <c r="C33" i="9" s="1"/>
  <c r="D17" i="11"/>
  <c r="D33" i="9" s="1"/>
  <c r="C18" i="11"/>
  <c r="C34" i="9" s="1"/>
  <c r="P34" i="9" s="1"/>
  <c r="D18" i="11"/>
  <c r="D34" i="9" s="1"/>
  <c r="C20" i="11"/>
  <c r="C36" i="9" s="1"/>
  <c r="I36" i="9" s="1"/>
  <c r="D20" i="11"/>
  <c r="C38" i="11"/>
  <c r="C16" i="9" s="1"/>
  <c r="F16" i="9" s="1"/>
  <c r="D38" i="11"/>
  <c r="D16" i="9" s="1"/>
  <c r="C40" i="11"/>
  <c r="C18" i="9" s="1"/>
  <c r="P18" i="9" s="1"/>
  <c r="D40" i="11"/>
  <c r="D18" i="9" s="1"/>
  <c r="G3" i="9"/>
  <c r="I3" i="9"/>
  <c r="K3" i="9"/>
  <c r="P3" i="9"/>
  <c r="R3" i="9"/>
  <c r="G4" i="9"/>
  <c r="I4" i="9"/>
  <c r="K4" i="9"/>
  <c r="P4" i="9"/>
  <c r="R4" i="9"/>
  <c r="C5" i="9"/>
  <c r="H5" i="9" s="1"/>
  <c r="D5" i="9"/>
  <c r="E5" i="9"/>
  <c r="C6" i="9"/>
  <c r="L6" i="9" s="1"/>
  <c r="D6" i="9"/>
  <c r="E6" i="9"/>
  <c r="C7" i="9"/>
  <c r="G7" i="9" s="1"/>
  <c r="D7" i="9"/>
  <c r="E7" i="9"/>
  <c r="C8" i="9"/>
  <c r="K8" i="9" s="1"/>
  <c r="D8" i="9"/>
  <c r="E8" i="9"/>
  <c r="C9" i="9"/>
  <c r="G9" i="9" s="1"/>
  <c r="D9" i="9"/>
  <c r="E9" i="9"/>
  <c r="F10" i="9"/>
  <c r="I10" i="9" s="1"/>
  <c r="G10" i="9"/>
  <c r="J10" i="9"/>
  <c r="K10" i="9"/>
  <c r="P10" i="9"/>
  <c r="R10" i="9"/>
  <c r="G11" i="9"/>
  <c r="I11" i="9"/>
  <c r="J11" i="9"/>
  <c r="K11" i="9"/>
  <c r="P11" i="9"/>
  <c r="R11" i="9"/>
  <c r="G12" i="9"/>
  <c r="J12" i="9"/>
  <c r="K12" i="9"/>
  <c r="P12" i="9"/>
  <c r="R12" i="9"/>
  <c r="G13" i="9"/>
  <c r="H13" i="9"/>
  <c r="J13" i="9"/>
  <c r="K13" i="9"/>
  <c r="L13" i="9"/>
  <c r="M13" i="9"/>
  <c r="N13" i="9"/>
  <c r="P13" i="9"/>
  <c r="R13" i="9"/>
  <c r="F14" i="9"/>
  <c r="I14" i="9" s="1"/>
  <c r="G14" i="9"/>
  <c r="J14" i="9"/>
  <c r="K14" i="9"/>
  <c r="P14" i="9"/>
  <c r="R14" i="9"/>
  <c r="C15" i="9"/>
  <c r="P15" i="9" s="1"/>
  <c r="D15" i="9"/>
  <c r="E15" i="9"/>
  <c r="E16" i="9"/>
  <c r="C17" i="9"/>
  <c r="F17" i="9" s="1"/>
  <c r="D17" i="9"/>
  <c r="E17" i="9"/>
  <c r="E18" i="9"/>
  <c r="C19" i="9"/>
  <c r="P19" i="9" s="1"/>
  <c r="D19" i="9"/>
  <c r="K19" i="9" s="1"/>
  <c r="E19" i="9"/>
  <c r="F20" i="9"/>
  <c r="I20" i="9" s="1"/>
  <c r="G20" i="9"/>
  <c r="J20" i="9"/>
  <c r="K20" i="9"/>
  <c r="P20" i="9"/>
  <c r="R20" i="9"/>
  <c r="F21" i="9"/>
  <c r="I21" i="9" s="1"/>
  <c r="G21" i="9"/>
  <c r="J21" i="9"/>
  <c r="K21" i="9"/>
  <c r="P21" i="9"/>
  <c r="R21" i="9"/>
  <c r="G22" i="9"/>
  <c r="I22" i="9"/>
  <c r="J22" i="9"/>
  <c r="K22" i="9"/>
  <c r="P22" i="9"/>
  <c r="R22" i="9"/>
  <c r="C23" i="9"/>
  <c r="D23" i="9"/>
  <c r="E23" i="9"/>
  <c r="C24" i="9"/>
  <c r="F24" i="9" s="1"/>
  <c r="D24" i="9"/>
  <c r="E24" i="9"/>
  <c r="C25" i="9"/>
  <c r="P25" i="9" s="1"/>
  <c r="D25" i="9"/>
  <c r="E25" i="9"/>
  <c r="C26" i="9"/>
  <c r="D26" i="9"/>
  <c r="E26" i="9"/>
  <c r="C27" i="9"/>
  <c r="F27" i="9" s="1"/>
  <c r="I27" i="9" s="1"/>
  <c r="D27" i="9"/>
  <c r="E27" i="9"/>
  <c r="C28" i="9"/>
  <c r="F28" i="9" s="1"/>
  <c r="I28" i="9" s="1"/>
  <c r="D28" i="9"/>
  <c r="E28" i="9"/>
  <c r="C29" i="9"/>
  <c r="P29" i="9" s="1"/>
  <c r="D29" i="9"/>
  <c r="E29" i="9"/>
  <c r="C30" i="9"/>
  <c r="J30" i="9" s="1"/>
  <c r="D30" i="9"/>
  <c r="E30" i="9"/>
  <c r="C31" i="9"/>
  <c r="F31" i="9" s="1"/>
  <c r="I31" i="9" s="1"/>
  <c r="D31" i="9"/>
  <c r="E31" i="9"/>
  <c r="C32" i="9"/>
  <c r="P32" i="9" s="1"/>
  <c r="D32" i="9"/>
  <c r="G32" i="9" s="1"/>
  <c r="E32" i="9"/>
  <c r="E33" i="9"/>
  <c r="E34" i="9"/>
  <c r="C35" i="9"/>
  <c r="I35" i="9" s="1"/>
  <c r="D35" i="9"/>
  <c r="E35" i="9"/>
  <c r="D36" i="9"/>
  <c r="E36" i="9"/>
  <c r="C37" i="9"/>
  <c r="P37" i="9" s="1"/>
  <c r="D37" i="9"/>
  <c r="E37" i="9"/>
  <c r="G38" i="9"/>
  <c r="H38" i="9"/>
  <c r="I38" i="9"/>
  <c r="K38" i="9"/>
  <c r="P38" i="9"/>
  <c r="R38" i="9"/>
  <c r="F39" i="9"/>
  <c r="I39" i="9" s="1"/>
  <c r="G39" i="9"/>
  <c r="J39" i="9"/>
  <c r="K39" i="9"/>
  <c r="P39" i="9"/>
  <c r="R39" i="9"/>
  <c r="C40" i="9"/>
  <c r="P40" i="9" s="1"/>
  <c r="D40" i="9"/>
  <c r="E40" i="9"/>
  <c r="C41" i="9"/>
  <c r="P41" i="9" s="1"/>
  <c r="D41" i="9"/>
  <c r="E41" i="9"/>
  <c r="C42" i="9"/>
  <c r="H42" i="9" s="1"/>
  <c r="D42" i="9"/>
  <c r="E42" i="9"/>
  <c r="C43" i="9"/>
  <c r="I43" i="9" s="1"/>
  <c r="D43" i="9"/>
  <c r="E43" i="9"/>
  <c r="E44" i="9"/>
  <c r="C45" i="9"/>
  <c r="D45" i="9"/>
  <c r="J45" i="9" s="1"/>
  <c r="E45" i="9"/>
  <c r="C46" i="9"/>
  <c r="P46" i="9" s="1"/>
  <c r="D46" i="9"/>
  <c r="E46" i="9"/>
  <c r="C47" i="9"/>
  <c r="D47" i="9"/>
  <c r="J47" i="9" s="1"/>
  <c r="E47" i="9"/>
  <c r="C48" i="9"/>
  <c r="P48" i="9" s="1"/>
  <c r="D48" i="9"/>
  <c r="E48" i="9"/>
  <c r="C49" i="9"/>
  <c r="D49" i="9"/>
  <c r="K49" i="9" s="1"/>
  <c r="E49" i="9"/>
  <c r="G50" i="9"/>
  <c r="I50" i="9"/>
  <c r="K50" i="9"/>
  <c r="P50" i="9"/>
  <c r="R50" i="9"/>
  <c r="F51" i="9"/>
  <c r="I51" i="9" s="1"/>
  <c r="G51" i="9"/>
  <c r="J51" i="9"/>
  <c r="K51" i="9"/>
  <c r="P51" i="9"/>
  <c r="R51" i="9"/>
  <c r="G52" i="9"/>
  <c r="I52" i="9"/>
  <c r="J52" i="9"/>
  <c r="P52" i="9"/>
  <c r="R52" i="9"/>
  <c r="G53" i="9"/>
  <c r="I53" i="9"/>
  <c r="J53" i="9"/>
  <c r="K53" i="9"/>
  <c r="P53" i="9"/>
  <c r="R53" i="9"/>
  <c r="F54" i="9"/>
  <c r="I54" i="9" s="1"/>
  <c r="G54" i="9"/>
  <c r="J54" i="9"/>
  <c r="K54" i="9"/>
  <c r="P54" i="9"/>
  <c r="R54" i="9"/>
  <c r="G55" i="9"/>
  <c r="J55" i="9"/>
  <c r="K55" i="9"/>
  <c r="P55" i="9"/>
  <c r="R55" i="9"/>
  <c r="C56" i="9"/>
  <c r="P56" i="9" s="1"/>
  <c r="D56" i="9"/>
  <c r="L56" i="9" s="1"/>
  <c r="E56" i="9"/>
  <c r="C57" i="9"/>
  <c r="D57" i="9"/>
  <c r="E57" i="9"/>
  <c r="C58" i="9"/>
  <c r="D58" i="9"/>
  <c r="G58" i="9" s="1"/>
  <c r="E58" i="9"/>
  <c r="C59" i="9"/>
  <c r="P59" i="9" s="1"/>
  <c r="D59" i="9"/>
  <c r="E59" i="9"/>
  <c r="C60" i="9"/>
  <c r="D60" i="9"/>
  <c r="H60" i="9" s="1"/>
  <c r="E60" i="9"/>
  <c r="G61" i="9"/>
  <c r="I61" i="9"/>
  <c r="J61" i="9"/>
  <c r="K61" i="9"/>
  <c r="P61" i="9"/>
  <c r="R61" i="9"/>
  <c r="G2" i="7"/>
  <c r="I2" i="7"/>
  <c r="N2" i="7"/>
  <c r="D3" i="7"/>
  <c r="G3" i="7" s="1"/>
  <c r="E3" i="7"/>
  <c r="H3" i="7"/>
  <c r="I3" i="7"/>
  <c r="E4" i="7"/>
  <c r="G4" i="7"/>
  <c r="I4" i="7"/>
  <c r="N4" i="7"/>
  <c r="E5" i="7"/>
  <c r="F5" i="7"/>
  <c r="G5" i="7"/>
  <c r="I5" i="7"/>
  <c r="J5" i="7"/>
  <c r="K5" i="7"/>
  <c r="N5" i="7"/>
  <c r="D6" i="7"/>
  <c r="G6" i="7" s="1"/>
  <c r="E6" i="7"/>
  <c r="H6" i="7"/>
  <c r="I6" i="7"/>
  <c r="N6" i="7"/>
  <c r="E7" i="7"/>
  <c r="M7" i="7" s="1"/>
  <c r="O7" i="7" s="1"/>
  <c r="P7" i="7" s="1"/>
  <c r="G7" i="7"/>
  <c r="H7" i="7"/>
  <c r="I7" i="7"/>
  <c r="N7" i="7"/>
  <c r="E8" i="7"/>
  <c r="H8" i="7"/>
  <c r="I8" i="7"/>
  <c r="N8" i="7"/>
  <c r="E9" i="7"/>
  <c r="F9" i="7"/>
  <c r="H9" i="7"/>
  <c r="I9" i="7"/>
  <c r="J9" i="7"/>
  <c r="K9" i="7"/>
  <c r="L9" i="7"/>
  <c r="N9" i="7"/>
  <c r="D10" i="7"/>
  <c r="G10" i="7" s="1"/>
  <c r="E10" i="7"/>
  <c r="H10" i="7"/>
  <c r="I10" i="7"/>
  <c r="N10" i="7"/>
  <c r="D11" i="7"/>
  <c r="G11" i="7" s="1"/>
  <c r="E11" i="7"/>
  <c r="H11" i="7"/>
  <c r="I11" i="7"/>
  <c r="N11" i="7"/>
  <c r="D12" i="7"/>
  <c r="G12" i="7" s="1"/>
  <c r="E12" i="7"/>
  <c r="H12" i="7"/>
  <c r="I12" i="7"/>
  <c r="M12" i="7" s="1"/>
  <c r="O12" i="7" s="1"/>
  <c r="P12" i="7" s="1"/>
  <c r="N12" i="7"/>
  <c r="D13" i="7"/>
  <c r="G13" i="7" s="1"/>
  <c r="E13" i="7"/>
  <c r="H13" i="7"/>
  <c r="I13" i="7"/>
  <c r="N13" i="7"/>
  <c r="E14" i="7"/>
  <c r="G14" i="7"/>
  <c r="H14" i="7"/>
  <c r="I14" i="7"/>
  <c r="N14" i="7"/>
  <c r="D15" i="7"/>
  <c r="G15" i="7" s="1"/>
  <c r="E15" i="7"/>
  <c r="H15" i="7"/>
  <c r="N15" i="7"/>
  <c r="D16" i="7"/>
  <c r="I16" i="7" s="1"/>
  <c r="E16" i="7"/>
  <c r="H16" i="7"/>
  <c r="N16" i="7"/>
  <c r="D17" i="7"/>
  <c r="G17" i="7" s="1"/>
  <c r="E17" i="7"/>
  <c r="H17" i="7"/>
  <c r="I17" i="7"/>
  <c r="N17" i="7"/>
  <c r="E18" i="7"/>
  <c r="M18" i="7" s="1"/>
  <c r="G18" i="7"/>
  <c r="I18" i="7"/>
  <c r="N18" i="7"/>
  <c r="E19" i="7"/>
  <c r="F19" i="7"/>
  <c r="G19" i="7"/>
  <c r="I19" i="7"/>
  <c r="N19" i="7"/>
  <c r="D20" i="7"/>
  <c r="G20" i="7" s="1"/>
  <c r="E20" i="7"/>
  <c r="H20" i="7"/>
  <c r="I20" i="7"/>
  <c r="N20" i="7"/>
  <c r="E21" i="7"/>
  <c r="F21" i="7"/>
  <c r="G21" i="7"/>
  <c r="I21" i="7"/>
  <c r="N21" i="7"/>
  <c r="D22" i="7"/>
  <c r="G22" i="7" s="1"/>
  <c r="E22" i="7"/>
  <c r="H22" i="7"/>
  <c r="I22" i="7"/>
  <c r="N22" i="7"/>
  <c r="E23" i="7"/>
  <c r="G23" i="7"/>
  <c r="I23" i="7"/>
  <c r="N23" i="7"/>
  <c r="D24" i="7"/>
  <c r="G24" i="7" s="1"/>
  <c r="E24" i="7"/>
  <c r="H24" i="7"/>
  <c r="I24" i="7"/>
  <c r="N24" i="7"/>
  <c r="E25" i="7"/>
  <c r="G25" i="7"/>
  <c r="H25" i="7"/>
  <c r="N25" i="7"/>
  <c r="E26" i="7"/>
  <c r="G26" i="7"/>
  <c r="H26" i="7"/>
  <c r="I26" i="7"/>
  <c r="N26" i="7"/>
  <c r="D27" i="7"/>
  <c r="G27" i="7" s="1"/>
  <c r="E27" i="7"/>
  <c r="H27" i="7"/>
  <c r="I27" i="7"/>
  <c r="N27" i="7"/>
  <c r="E28" i="7"/>
  <c r="H28" i="7"/>
  <c r="I28" i="7"/>
  <c r="N28" i="7"/>
  <c r="E29" i="7"/>
  <c r="F29" i="7"/>
  <c r="G29" i="7"/>
  <c r="H29" i="7"/>
  <c r="I29" i="7"/>
  <c r="J29" i="7"/>
  <c r="N29" i="7"/>
  <c r="E30" i="7"/>
  <c r="G30" i="7"/>
  <c r="H30" i="7"/>
  <c r="I30" i="7"/>
  <c r="N30" i="7"/>
  <c r="F42" i="15"/>
  <c r="F46" i="15" s="1"/>
  <c r="H42" i="15"/>
  <c r="Q42" i="15" s="1"/>
  <c r="V42" i="15" s="1"/>
  <c r="J36" i="13"/>
  <c r="T36" i="13" s="1"/>
  <c r="Y36" i="13" s="1"/>
  <c r="L36" i="1"/>
  <c r="C62" i="1"/>
  <c r="D62" i="1"/>
  <c r="D63" i="35" s="1"/>
  <c r="F62" i="1"/>
  <c r="F63" i="35" s="1"/>
  <c r="H62" i="1"/>
  <c r="J62" i="1"/>
  <c r="J63" i="35" s="1"/>
  <c r="L62" i="1"/>
  <c r="L63" i="35" s="1"/>
  <c r="D66" i="1"/>
  <c r="F66" i="1"/>
  <c r="F67" i="35" s="1"/>
  <c r="H66" i="1"/>
  <c r="H67" i="35" s="1"/>
  <c r="J66" i="1"/>
  <c r="J67" i="35" s="1"/>
  <c r="L66" i="1"/>
  <c r="L67" i="35" s="1"/>
  <c r="D67" i="1"/>
  <c r="D68" i="35" s="1"/>
  <c r="F67" i="1"/>
  <c r="H67" i="1"/>
  <c r="J67" i="1"/>
  <c r="J68" i="35" s="1"/>
  <c r="L67" i="1"/>
  <c r="L68" i="13" s="1"/>
  <c r="U68" i="13" s="1"/>
  <c r="Z68" i="13" s="1"/>
  <c r="D69" i="1"/>
  <c r="D70" i="13" s="1"/>
  <c r="Q70" i="13" s="1"/>
  <c r="V70" i="13" s="1"/>
  <c r="F69" i="1"/>
  <c r="F70" i="13" s="1"/>
  <c r="R70" i="13" s="1"/>
  <c r="W70" i="13" s="1"/>
  <c r="H69" i="1"/>
  <c r="H70" i="35" s="1"/>
  <c r="J69" i="1"/>
  <c r="J70" i="13" s="1"/>
  <c r="T70" i="13" s="1"/>
  <c r="Y70" i="13" s="1"/>
  <c r="L69" i="1"/>
  <c r="L70" i="35" s="1"/>
  <c r="F76" i="1"/>
  <c r="H76" i="1"/>
  <c r="H77" i="35" s="1"/>
  <c r="J76" i="1"/>
  <c r="J77" i="35" s="1"/>
  <c r="J94" i="15"/>
  <c r="J98" i="15" s="1"/>
  <c r="L76" i="1"/>
  <c r="D80" i="1"/>
  <c r="F80" i="1"/>
  <c r="H80" i="1"/>
  <c r="H81" i="35" s="1"/>
  <c r="J80" i="1"/>
  <c r="L80" i="1"/>
  <c r="D81" i="1"/>
  <c r="D82" i="13" s="1"/>
  <c r="Q82" i="13" s="1"/>
  <c r="V82" i="13" s="1"/>
  <c r="F81" i="1"/>
  <c r="F82" i="35" s="1"/>
  <c r="F100" i="15"/>
  <c r="P100" i="15" s="1"/>
  <c r="U100" i="15" s="1"/>
  <c r="H81" i="1"/>
  <c r="J81" i="1"/>
  <c r="L81" i="1"/>
  <c r="L82" i="35" s="1"/>
  <c r="D82" i="1"/>
  <c r="D83" i="13" s="1"/>
  <c r="F82" i="1"/>
  <c r="F83" i="35" s="1"/>
  <c r="H82" i="1"/>
  <c r="J82" i="1"/>
  <c r="J83" i="35" s="1"/>
  <c r="L82" i="1"/>
  <c r="L83" i="13" s="1"/>
  <c r="Q4" i="13"/>
  <c r="V4" i="13" s="1"/>
  <c r="R4" i="13"/>
  <c r="W4" i="13" s="1"/>
  <c r="S4" i="13"/>
  <c r="X4" i="13" s="1"/>
  <c r="T4" i="13"/>
  <c r="Y4" i="13" s="1"/>
  <c r="U4" i="13"/>
  <c r="Z4" i="13" s="1"/>
  <c r="Q5" i="13"/>
  <c r="V5" i="13" s="1"/>
  <c r="R5" i="13"/>
  <c r="W5" i="13" s="1"/>
  <c r="S5" i="13"/>
  <c r="X5" i="13" s="1"/>
  <c r="T5" i="13"/>
  <c r="Y5" i="13" s="1"/>
  <c r="U5" i="13"/>
  <c r="Z5" i="13" s="1"/>
  <c r="Q6" i="13"/>
  <c r="V6" i="13" s="1"/>
  <c r="R6" i="13"/>
  <c r="W6" i="13" s="1"/>
  <c r="S6" i="13"/>
  <c r="X6" i="13" s="1"/>
  <c r="T6" i="13"/>
  <c r="Y6" i="13" s="1"/>
  <c r="U6" i="13"/>
  <c r="Z6" i="13" s="1"/>
  <c r="Q7" i="13"/>
  <c r="V7" i="13" s="1"/>
  <c r="R7" i="13"/>
  <c r="W7" i="13" s="1"/>
  <c r="S7" i="13"/>
  <c r="X7" i="13" s="1"/>
  <c r="T7" i="13"/>
  <c r="Y7" i="13" s="1"/>
  <c r="U7" i="13"/>
  <c r="Z7" i="13" s="1"/>
  <c r="Q8" i="13"/>
  <c r="V8" i="13" s="1"/>
  <c r="R8" i="13"/>
  <c r="W8" i="13" s="1"/>
  <c r="S8" i="13"/>
  <c r="X8" i="13" s="1"/>
  <c r="T8" i="13"/>
  <c r="Y8" i="13" s="1"/>
  <c r="U8" i="13"/>
  <c r="Z8" i="13" s="1"/>
  <c r="Q9" i="13"/>
  <c r="V9" i="13" s="1"/>
  <c r="R9" i="13"/>
  <c r="W9" i="13" s="1"/>
  <c r="S9" i="13"/>
  <c r="X9" i="13" s="1"/>
  <c r="T9" i="13"/>
  <c r="Y9" i="13" s="1"/>
  <c r="U9" i="13"/>
  <c r="Z9" i="13" s="1"/>
  <c r="Q10" i="13"/>
  <c r="V10" i="13" s="1"/>
  <c r="R10" i="13"/>
  <c r="W10" i="13" s="1"/>
  <c r="S10" i="13"/>
  <c r="X10" i="13" s="1"/>
  <c r="T10" i="13"/>
  <c r="Y10" i="13" s="1"/>
  <c r="U10" i="13"/>
  <c r="Z10" i="13" s="1"/>
  <c r="Q11" i="13"/>
  <c r="V11" i="13" s="1"/>
  <c r="R11" i="13"/>
  <c r="W11" i="13" s="1"/>
  <c r="S11" i="13"/>
  <c r="X11" i="13" s="1"/>
  <c r="T11" i="13"/>
  <c r="Y11" i="13" s="1"/>
  <c r="U11" i="13"/>
  <c r="Z11" i="13" s="1"/>
  <c r="Q12" i="13"/>
  <c r="V12" i="13" s="1"/>
  <c r="R12" i="13"/>
  <c r="W12" i="13" s="1"/>
  <c r="S12" i="13"/>
  <c r="X12" i="13" s="1"/>
  <c r="T12" i="13"/>
  <c r="Y12" i="13" s="1"/>
  <c r="U12" i="13"/>
  <c r="Z12" i="13" s="1"/>
  <c r="Q13" i="13"/>
  <c r="V13" i="13" s="1"/>
  <c r="R13" i="13"/>
  <c r="W13" i="13" s="1"/>
  <c r="S13" i="13"/>
  <c r="X13" i="13" s="1"/>
  <c r="T13" i="13"/>
  <c r="Y13" i="13" s="1"/>
  <c r="U13" i="13"/>
  <c r="Z13" i="13" s="1"/>
  <c r="Q14" i="13"/>
  <c r="V14" i="13" s="1"/>
  <c r="R14" i="13"/>
  <c r="W14" i="13" s="1"/>
  <c r="S14" i="13"/>
  <c r="X14" i="13" s="1"/>
  <c r="T14" i="13"/>
  <c r="Y14" i="13" s="1"/>
  <c r="U14" i="13"/>
  <c r="Z14" i="13" s="1"/>
  <c r="Q15" i="13"/>
  <c r="V15" i="13" s="1"/>
  <c r="R15" i="13"/>
  <c r="W15" i="13" s="1"/>
  <c r="S15" i="13"/>
  <c r="X15" i="13" s="1"/>
  <c r="T15" i="13"/>
  <c r="Y15" i="13" s="1"/>
  <c r="U15" i="13"/>
  <c r="Z15" i="13" s="1"/>
  <c r="Q16" i="13"/>
  <c r="V16" i="13" s="1"/>
  <c r="R16" i="13"/>
  <c r="W16" i="13" s="1"/>
  <c r="S16" i="13"/>
  <c r="X16" i="13" s="1"/>
  <c r="T16" i="13"/>
  <c r="Y16" i="13" s="1"/>
  <c r="U16" i="13"/>
  <c r="Z16" i="13" s="1"/>
  <c r="Q17" i="13"/>
  <c r="V17" i="13" s="1"/>
  <c r="R17" i="13"/>
  <c r="W17" i="13" s="1"/>
  <c r="S17" i="13"/>
  <c r="X17" i="13" s="1"/>
  <c r="T17" i="13"/>
  <c r="Y17" i="13" s="1"/>
  <c r="U17" i="13"/>
  <c r="Z17" i="13" s="1"/>
  <c r="Q18" i="13"/>
  <c r="V18" i="13" s="1"/>
  <c r="R18" i="13"/>
  <c r="W18" i="13" s="1"/>
  <c r="S18" i="13"/>
  <c r="X18" i="13" s="1"/>
  <c r="T18" i="13"/>
  <c r="Y18" i="13" s="1"/>
  <c r="U18" i="13"/>
  <c r="Z18" i="13" s="1"/>
  <c r="V19" i="13"/>
  <c r="R19" i="13"/>
  <c r="W19" i="13" s="1"/>
  <c r="S19" i="13"/>
  <c r="X19" i="13" s="1"/>
  <c r="T19" i="13"/>
  <c r="Y19" i="13" s="1"/>
  <c r="U19" i="13"/>
  <c r="Z19" i="13" s="1"/>
  <c r="Q20" i="13"/>
  <c r="V20" i="13" s="1"/>
  <c r="R20" i="13"/>
  <c r="W20" i="13" s="1"/>
  <c r="S20" i="13"/>
  <c r="X20" i="13" s="1"/>
  <c r="T20" i="13"/>
  <c r="Y20" i="13" s="1"/>
  <c r="U20" i="13"/>
  <c r="Z20" i="13" s="1"/>
  <c r="Q21" i="13"/>
  <c r="V21" i="13" s="1"/>
  <c r="R21" i="13"/>
  <c r="W21" i="13" s="1"/>
  <c r="S21" i="13"/>
  <c r="X21" i="13" s="1"/>
  <c r="T21" i="13"/>
  <c r="Y21" i="13" s="1"/>
  <c r="U21" i="13"/>
  <c r="Z21" i="13" s="1"/>
  <c r="Q22" i="13"/>
  <c r="V22" i="13" s="1"/>
  <c r="R22" i="13"/>
  <c r="W22" i="13" s="1"/>
  <c r="S22" i="13"/>
  <c r="X22" i="13" s="1"/>
  <c r="T22" i="13"/>
  <c r="Y22" i="13" s="1"/>
  <c r="U22" i="13"/>
  <c r="Z22" i="13" s="1"/>
  <c r="Q23" i="13"/>
  <c r="V23" i="13" s="1"/>
  <c r="R23" i="13"/>
  <c r="W23" i="13" s="1"/>
  <c r="S23" i="13"/>
  <c r="X23" i="13" s="1"/>
  <c r="T23" i="13"/>
  <c r="Y23" i="13" s="1"/>
  <c r="U23" i="13"/>
  <c r="Z23" i="13" s="1"/>
  <c r="Q24" i="13"/>
  <c r="V24" i="13" s="1"/>
  <c r="R24" i="13"/>
  <c r="W24" i="13" s="1"/>
  <c r="S24" i="13"/>
  <c r="X24" i="13" s="1"/>
  <c r="T24" i="13"/>
  <c r="Y24" i="13" s="1"/>
  <c r="U24" i="13"/>
  <c r="Z24" i="13" s="1"/>
  <c r="Q25" i="13"/>
  <c r="V25" i="13" s="1"/>
  <c r="R25" i="13"/>
  <c r="W25" i="13" s="1"/>
  <c r="S25" i="13"/>
  <c r="X25" i="13" s="1"/>
  <c r="T25" i="13"/>
  <c r="Y25" i="13" s="1"/>
  <c r="U25" i="13"/>
  <c r="Z25" i="13" s="1"/>
  <c r="Q26" i="13"/>
  <c r="V26" i="13" s="1"/>
  <c r="R26" i="13"/>
  <c r="W26" i="13" s="1"/>
  <c r="S26" i="13"/>
  <c r="X26" i="13" s="1"/>
  <c r="T26" i="13"/>
  <c r="Y26" i="13" s="1"/>
  <c r="U26" i="13"/>
  <c r="Z26" i="13" s="1"/>
  <c r="Q27" i="13"/>
  <c r="V27" i="13" s="1"/>
  <c r="R27" i="13"/>
  <c r="W27" i="13" s="1"/>
  <c r="S27" i="13"/>
  <c r="X27" i="13" s="1"/>
  <c r="T27" i="13"/>
  <c r="Y27" i="13" s="1"/>
  <c r="U27" i="13"/>
  <c r="Z27" i="13" s="1"/>
  <c r="Q28" i="13"/>
  <c r="V28" i="13" s="1"/>
  <c r="R28" i="13"/>
  <c r="W28" i="13" s="1"/>
  <c r="S28" i="13"/>
  <c r="X28" i="13" s="1"/>
  <c r="T28" i="13"/>
  <c r="Y28" i="13" s="1"/>
  <c r="U28" i="13"/>
  <c r="Z28" i="13" s="1"/>
  <c r="Q29" i="13"/>
  <c r="V29" i="13" s="1"/>
  <c r="R29" i="13"/>
  <c r="W29" i="13" s="1"/>
  <c r="S29" i="13"/>
  <c r="X29" i="13" s="1"/>
  <c r="T29" i="13"/>
  <c r="Y29" i="13" s="1"/>
  <c r="U29" i="13"/>
  <c r="Z29" i="13" s="1"/>
  <c r="Q30" i="13"/>
  <c r="V30" i="13" s="1"/>
  <c r="R30" i="13"/>
  <c r="W30" i="13" s="1"/>
  <c r="S30" i="13"/>
  <c r="X30" i="13" s="1"/>
  <c r="T30" i="13"/>
  <c r="Y30" i="13" s="1"/>
  <c r="U30" i="13"/>
  <c r="Z30" i="13" s="1"/>
  <c r="Q31" i="13"/>
  <c r="V31" i="13" s="1"/>
  <c r="R31" i="13"/>
  <c r="W31" i="13" s="1"/>
  <c r="S31" i="13"/>
  <c r="X31" i="13" s="1"/>
  <c r="T31" i="13"/>
  <c r="Y31" i="13" s="1"/>
  <c r="U31" i="13"/>
  <c r="Z31" i="13" s="1"/>
  <c r="Q32" i="13"/>
  <c r="V32" i="13" s="1"/>
  <c r="R32" i="13"/>
  <c r="W32" i="13" s="1"/>
  <c r="S32" i="13"/>
  <c r="X32" i="13" s="1"/>
  <c r="T32" i="13"/>
  <c r="Y32" i="13" s="1"/>
  <c r="U32" i="13"/>
  <c r="Z32" i="13" s="1"/>
  <c r="Q33" i="13"/>
  <c r="V33" i="13" s="1"/>
  <c r="R33" i="13"/>
  <c r="W33" i="13" s="1"/>
  <c r="S33" i="13"/>
  <c r="X33" i="13" s="1"/>
  <c r="T33" i="13"/>
  <c r="Y33" i="13" s="1"/>
  <c r="U33" i="13"/>
  <c r="Z33" i="13" s="1"/>
  <c r="Q34" i="13"/>
  <c r="V34" i="13" s="1"/>
  <c r="R34" i="13"/>
  <c r="W34" i="13" s="1"/>
  <c r="S34" i="13"/>
  <c r="X34" i="13" s="1"/>
  <c r="T34" i="13"/>
  <c r="Y34" i="13" s="1"/>
  <c r="U34" i="13"/>
  <c r="Z34" i="13" s="1"/>
  <c r="Q35" i="13"/>
  <c r="V35" i="13" s="1"/>
  <c r="R35" i="13"/>
  <c r="W35" i="13" s="1"/>
  <c r="S35" i="13"/>
  <c r="X35" i="13" s="1"/>
  <c r="T35" i="13"/>
  <c r="Y35" i="13" s="1"/>
  <c r="U35" i="13"/>
  <c r="Z35" i="13" s="1"/>
  <c r="E36" i="13"/>
  <c r="G36" i="13"/>
  <c r="I36" i="13"/>
  <c r="K36" i="13"/>
  <c r="L36" i="13"/>
  <c r="U36" i="13" s="1"/>
  <c r="Z36" i="13" s="1"/>
  <c r="Q37" i="13"/>
  <c r="V37" i="13" s="1"/>
  <c r="R37" i="13"/>
  <c r="W37" i="13" s="1"/>
  <c r="S37" i="13"/>
  <c r="X37" i="13" s="1"/>
  <c r="T37" i="13"/>
  <c r="Y37" i="13" s="1"/>
  <c r="U37" i="13"/>
  <c r="Z37" i="13" s="1"/>
  <c r="Q38" i="13"/>
  <c r="V38" i="13" s="1"/>
  <c r="R38" i="13"/>
  <c r="W38" i="13" s="1"/>
  <c r="S38" i="13"/>
  <c r="X38" i="13" s="1"/>
  <c r="T38" i="13"/>
  <c r="Y38" i="13" s="1"/>
  <c r="U38" i="13"/>
  <c r="Z38" i="13" s="1"/>
  <c r="Q39" i="13"/>
  <c r="V39" i="13" s="1"/>
  <c r="R39" i="13"/>
  <c r="W39" i="13" s="1"/>
  <c r="S39" i="13"/>
  <c r="X39" i="13" s="1"/>
  <c r="T39" i="13"/>
  <c r="Y39" i="13" s="1"/>
  <c r="U39" i="13"/>
  <c r="Z39" i="13" s="1"/>
  <c r="Q40" i="13"/>
  <c r="V40" i="13" s="1"/>
  <c r="R40" i="13"/>
  <c r="W40" i="13" s="1"/>
  <c r="S40" i="13"/>
  <c r="X40" i="13" s="1"/>
  <c r="T40" i="13"/>
  <c r="Y40" i="13" s="1"/>
  <c r="U40" i="13"/>
  <c r="Z40" i="13" s="1"/>
  <c r="Q41" i="13"/>
  <c r="V41" i="13" s="1"/>
  <c r="R41" i="13"/>
  <c r="W41" i="13" s="1"/>
  <c r="S41" i="13"/>
  <c r="X41" i="13" s="1"/>
  <c r="T41" i="13"/>
  <c r="Y41" i="13" s="1"/>
  <c r="U41" i="13"/>
  <c r="Z41" i="13" s="1"/>
  <c r="Q42" i="13"/>
  <c r="V42" i="13" s="1"/>
  <c r="R42" i="13"/>
  <c r="W42" i="13" s="1"/>
  <c r="S42" i="13"/>
  <c r="X42" i="13" s="1"/>
  <c r="T42" i="13"/>
  <c r="Y42" i="13" s="1"/>
  <c r="U42" i="13"/>
  <c r="Z42" i="13" s="1"/>
  <c r="Q43" i="13"/>
  <c r="V43" i="13" s="1"/>
  <c r="R43" i="13"/>
  <c r="W43" i="13" s="1"/>
  <c r="S43" i="13"/>
  <c r="X43" i="13" s="1"/>
  <c r="T43" i="13"/>
  <c r="Y43" i="13" s="1"/>
  <c r="U43" i="13"/>
  <c r="Z43" i="13" s="1"/>
  <c r="Q44" i="13"/>
  <c r="V44" i="13" s="1"/>
  <c r="R44" i="13"/>
  <c r="W44" i="13" s="1"/>
  <c r="S44" i="13"/>
  <c r="X44" i="13" s="1"/>
  <c r="T44" i="13"/>
  <c r="Y44" i="13" s="1"/>
  <c r="U44" i="13"/>
  <c r="Z44" i="13" s="1"/>
  <c r="Q45" i="13"/>
  <c r="V45" i="13" s="1"/>
  <c r="R45" i="13"/>
  <c r="W45" i="13" s="1"/>
  <c r="S45" i="13"/>
  <c r="X45" i="13" s="1"/>
  <c r="T45" i="13"/>
  <c r="Y45" i="13" s="1"/>
  <c r="U45" i="13"/>
  <c r="Z45" i="13" s="1"/>
  <c r="Q46" i="13"/>
  <c r="V46" i="13" s="1"/>
  <c r="R46" i="13"/>
  <c r="W46" i="13" s="1"/>
  <c r="S46" i="13"/>
  <c r="X46" i="13" s="1"/>
  <c r="T46" i="13"/>
  <c r="Y46" i="13" s="1"/>
  <c r="U46" i="13"/>
  <c r="Z46" i="13" s="1"/>
  <c r="Q47" i="13"/>
  <c r="V47" i="13" s="1"/>
  <c r="R47" i="13"/>
  <c r="W47" i="13" s="1"/>
  <c r="S47" i="13"/>
  <c r="X47" i="13" s="1"/>
  <c r="T47" i="13"/>
  <c r="Y47" i="13" s="1"/>
  <c r="U47" i="13"/>
  <c r="Z47" i="13" s="1"/>
  <c r="Q48" i="13"/>
  <c r="V48" i="13" s="1"/>
  <c r="R48" i="13"/>
  <c r="W48" i="13" s="1"/>
  <c r="S48" i="13"/>
  <c r="X48" i="13" s="1"/>
  <c r="T48" i="13"/>
  <c r="Y48" i="13" s="1"/>
  <c r="U48" i="13"/>
  <c r="Z48" i="13" s="1"/>
  <c r="Q49" i="13"/>
  <c r="V49" i="13" s="1"/>
  <c r="R49" i="13"/>
  <c r="W49" i="13" s="1"/>
  <c r="S49" i="13"/>
  <c r="X49" i="13" s="1"/>
  <c r="T49" i="13"/>
  <c r="Y49" i="13" s="1"/>
  <c r="U49" i="13"/>
  <c r="Z49" i="13" s="1"/>
  <c r="Q50" i="13"/>
  <c r="V50" i="13" s="1"/>
  <c r="R50" i="13"/>
  <c r="W50" i="13" s="1"/>
  <c r="S50" i="13"/>
  <c r="X50" i="13" s="1"/>
  <c r="T50" i="13"/>
  <c r="Y50" i="13" s="1"/>
  <c r="U50" i="13"/>
  <c r="Z50" i="13" s="1"/>
  <c r="Q51" i="13"/>
  <c r="V51" i="13" s="1"/>
  <c r="R51" i="13"/>
  <c r="W51" i="13" s="1"/>
  <c r="S51" i="13"/>
  <c r="X51" i="13" s="1"/>
  <c r="T51" i="13"/>
  <c r="Y51" i="13" s="1"/>
  <c r="U51" i="13"/>
  <c r="Z51" i="13" s="1"/>
  <c r="Q52" i="13"/>
  <c r="V52" i="13" s="1"/>
  <c r="R52" i="13"/>
  <c r="W52" i="13" s="1"/>
  <c r="S52" i="13"/>
  <c r="X52" i="13" s="1"/>
  <c r="T52" i="13"/>
  <c r="Y52" i="13" s="1"/>
  <c r="U52" i="13"/>
  <c r="Z52" i="13" s="1"/>
  <c r="Q53" i="13"/>
  <c r="V53" i="13" s="1"/>
  <c r="R53" i="13"/>
  <c r="W53" i="13" s="1"/>
  <c r="S53" i="13"/>
  <c r="X53" i="13" s="1"/>
  <c r="T53" i="13"/>
  <c r="Y53" i="13" s="1"/>
  <c r="U53" i="13"/>
  <c r="Z53" i="13" s="1"/>
  <c r="Q54" i="13"/>
  <c r="V54" i="13" s="1"/>
  <c r="R54" i="13"/>
  <c r="W54" i="13" s="1"/>
  <c r="S54" i="13"/>
  <c r="X54" i="13" s="1"/>
  <c r="T54" i="13"/>
  <c r="Y54" i="13" s="1"/>
  <c r="U54" i="13"/>
  <c r="Z54" i="13" s="1"/>
  <c r="Q55" i="13"/>
  <c r="V55" i="13" s="1"/>
  <c r="R55" i="13"/>
  <c r="W55" i="13" s="1"/>
  <c r="S55" i="13"/>
  <c r="X55" i="13" s="1"/>
  <c r="T55" i="13"/>
  <c r="Y55" i="13" s="1"/>
  <c r="U55" i="13"/>
  <c r="Z55" i="13" s="1"/>
  <c r="Q56" i="13"/>
  <c r="V56" i="13" s="1"/>
  <c r="R56" i="13"/>
  <c r="W56" i="13" s="1"/>
  <c r="S56" i="13"/>
  <c r="X56" i="13" s="1"/>
  <c r="T56" i="13"/>
  <c r="Y56" i="13" s="1"/>
  <c r="U56" i="13"/>
  <c r="Z56" i="13" s="1"/>
  <c r="Q57" i="13"/>
  <c r="V57" i="13" s="1"/>
  <c r="R57" i="13"/>
  <c r="W57" i="13" s="1"/>
  <c r="S57" i="13"/>
  <c r="X57" i="13" s="1"/>
  <c r="T57" i="13"/>
  <c r="Y57" i="13" s="1"/>
  <c r="U57" i="13"/>
  <c r="Z57" i="13" s="1"/>
  <c r="Q58" i="13"/>
  <c r="V58" i="13" s="1"/>
  <c r="R58" i="13"/>
  <c r="W58" i="13" s="1"/>
  <c r="S58" i="13"/>
  <c r="X58" i="13" s="1"/>
  <c r="T58" i="13"/>
  <c r="Y58" i="13" s="1"/>
  <c r="U58" i="13"/>
  <c r="Z58" i="13" s="1"/>
  <c r="Q59" i="13"/>
  <c r="V59" i="13" s="1"/>
  <c r="R59" i="13"/>
  <c r="W59" i="13" s="1"/>
  <c r="S59" i="13"/>
  <c r="X59" i="13" s="1"/>
  <c r="T59" i="13"/>
  <c r="Y59" i="13" s="1"/>
  <c r="U59" i="13"/>
  <c r="Z59" i="13" s="1"/>
  <c r="Q60" i="13"/>
  <c r="V60" i="13" s="1"/>
  <c r="R60" i="13"/>
  <c r="W60" i="13" s="1"/>
  <c r="S60" i="13"/>
  <c r="X60" i="13" s="1"/>
  <c r="T60" i="13"/>
  <c r="Y60" i="13" s="1"/>
  <c r="U60" i="13"/>
  <c r="Z60" i="13" s="1"/>
  <c r="Q61" i="13"/>
  <c r="V61" i="13" s="1"/>
  <c r="R61" i="13"/>
  <c r="W61" i="13" s="1"/>
  <c r="S61" i="13"/>
  <c r="X61" i="13" s="1"/>
  <c r="T61" i="13"/>
  <c r="Y61" i="13" s="1"/>
  <c r="U61" i="13"/>
  <c r="Z61" i="13" s="1"/>
  <c r="Q62" i="13"/>
  <c r="V62" i="13" s="1"/>
  <c r="R62" i="13"/>
  <c r="W62" i="13" s="1"/>
  <c r="S62" i="13"/>
  <c r="X62" i="13" s="1"/>
  <c r="T62" i="13"/>
  <c r="Y62" i="13" s="1"/>
  <c r="U62" i="13"/>
  <c r="Z62" i="13" s="1"/>
  <c r="C63" i="13"/>
  <c r="E63" i="13"/>
  <c r="G63" i="13"/>
  <c r="I63" i="13"/>
  <c r="K63" i="13"/>
  <c r="Q64" i="13"/>
  <c r="V64" i="13" s="1"/>
  <c r="R64" i="13"/>
  <c r="W64" i="13" s="1"/>
  <c r="S64" i="13"/>
  <c r="X64" i="13" s="1"/>
  <c r="T64" i="13"/>
  <c r="Y64" i="13" s="1"/>
  <c r="U64" i="13"/>
  <c r="Z64" i="13" s="1"/>
  <c r="Q65" i="13"/>
  <c r="V65" i="13" s="1"/>
  <c r="R65" i="13"/>
  <c r="W65" i="13" s="1"/>
  <c r="S65" i="13"/>
  <c r="X65" i="13" s="1"/>
  <c r="T65" i="13"/>
  <c r="Y65" i="13" s="1"/>
  <c r="U65" i="13"/>
  <c r="Z65" i="13" s="1"/>
  <c r="Q66" i="13"/>
  <c r="V66" i="13" s="1"/>
  <c r="R66" i="13"/>
  <c r="W66" i="13" s="1"/>
  <c r="S66" i="13"/>
  <c r="X66" i="13" s="1"/>
  <c r="T66" i="13"/>
  <c r="Y66" i="13" s="1"/>
  <c r="U66" i="13"/>
  <c r="Z66" i="13" s="1"/>
  <c r="E67" i="13"/>
  <c r="G67" i="13"/>
  <c r="I67" i="13"/>
  <c r="K67" i="13"/>
  <c r="E68" i="13"/>
  <c r="G68" i="13"/>
  <c r="I68" i="13"/>
  <c r="K68" i="13"/>
  <c r="Q69" i="13"/>
  <c r="V69" i="13" s="1"/>
  <c r="R69" i="13"/>
  <c r="W69" i="13" s="1"/>
  <c r="S69" i="13"/>
  <c r="X69" i="13" s="1"/>
  <c r="T69" i="13"/>
  <c r="Y69" i="13" s="1"/>
  <c r="U69" i="13"/>
  <c r="Z69" i="13" s="1"/>
  <c r="E70" i="13"/>
  <c r="G70" i="13"/>
  <c r="I70" i="13"/>
  <c r="K70" i="13"/>
  <c r="Q71" i="13"/>
  <c r="V71" i="13" s="1"/>
  <c r="R71" i="13"/>
  <c r="W71" i="13" s="1"/>
  <c r="S71" i="13"/>
  <c r="X71" i="13" s="1"/>
  <c r="T71" i="13"/>
  <c r="Y71" i="13" s="1"/>
  <c r="U71" i="13"/>
  <c r="Z71" i="13" s="1"/>
  <c r="Q72" i="13"/>
  <c r="V72" i="13" s="1"/>
  <c r="R72" i="13"/>
  <c r="W72" i="13" s="1"/>
  <c r="S72" i="13"/>
  <c r="X72" i="13" s="1"/>
  <c r="T72" i="13"/>
  <c r="Y72" i="13" s="1"/>
  <c r="U72" i="13"/>
  <c r="Z72" i="13" s="1"/>
  <c r="Q73" i="13"/>
  <c r="V73" i="13" s="1"/>
  <c r="R73" i="13"/>
  <c r="W73" i="13" s="1"/>
  <c r="S73" i="13"/>
  <c r="X73" i="13" s="1"/>
  <c r="T73" i="13"/>
  <c r="Y73" i="13" s="1"/>
  <c r="U73" i="13"/>
  <c r="Z73" i="13" s="1"/>
  <c r="Q74" i="13"/>
  <c r="V74" i="13" s="1"/>
  <c r="R74" i="13"/>
  <c r="W74" i="13" s="1"/>
  <c r="S74" i="13"/>
  <c r="X74" i="13" s="1"/>
  <c r="T74" i="13"/>
  <c r="Y74" i="13" s="1"/>
  <c r="U74" i="13"/>
  <c r="Z74" i="13" s="1"/>
  <c r="Q75" i="13"/>
  <c r="V75" i="13" s="1"/>
  <c r="R75" i="13"/>
  <c r="W75" i="13" s="1"/>
  <c r="S75" i="13"/>
  <c r="X75" i="13" s="1"/>
  <c r="T75" i="13"/>
  <c r="Y75" i="13" s="1"/>
  <c r="U75" i="13"/>
  <c r="Z75" i="13" s="1"/>
  <c r="Q76" i="13"/>
  <c r="V76" i="13" s="1"/>
  <c r="R76" i="13"/>
  <c r="W76" i="13" s="1"/>
  <c r="S76" i="13"/>
  <c r="X76" i="13" s="1"/>
  <c r="T76" i="13"/>
  <c r="Y76" i="13" s="1"/>
  <c r="U76" i="13"/>
  <c r="Z76" i="13" s="1"/>
  <c r="E77" i="13"/>
  <c r="G77" i="13"/>
  <c r="I77" i="13"/>
  <c r="K77" i="13"/>
  <c r="Q78" i="13"/>
  <c r="V78" i="13" s="1"/>
  <c r="R78" i="13"/>
  <c r="W78" i="13" s="1"/>
  <c r="S78" i="13"/>
  <c r="X78" i="13" s="1"/>
  <c r="T78" i="13"/>
  <c r="Y78" i="13" s="1"/>
  <c r="U78" i="13"/>
  <c r="Z78" i="13" s="1"/>
  <c r="Q79" i="13"/>
  <c r="V79" i="13" s="1"/>
  <c r="R79" i="13"/>
  <c r="W79" i="13" s="1"/>
  <c r="S79" i="13"/>
  <c r="X79" i="13" s="1"/>
  <c r="T79" i="13"/>
  <c r="Y79" i="13" s="1"/>
  <c r="U79" i="13"/>
  <c r="Z79" i="13" s="1"/>
  <c r="Q80" i="13"/>
  <c r="V80" i="13" s="1"/>
  <c r="R80" i="13"/>
  <c r="W80" i="13" s="1"/>
  <c r="S80" i="13"/>
  <c r="X80" i="13" s="1"/>
  <c r="T80" i="13"/>
  <c r="Y80" i="13" s="1"/>
  <c r="U80" i="13"/>
  <c r="Z80" i="13" s="1"/>
  <c r="E81" i="13"/>
  <c r="G81" i="13"/>
  <c r="I81" i="13"/>
  <c r="K81" i="13"/>
  <c r="E82" i="13"/>
  <c r="G82" i="13"/>
  <c r="I82" i="13"/>
  <c r="K82" i="13"/>
  <c r="E83" i="13"/>
  <c r="G83" i="13"/>
  <c r="I83" i="13"/>
  <c r="K83" i="13"/>
  <c r="Q84" i="13"/>
  <c r="V84" i="13" s="1"/>
  <c r="R84" i="13"/>
  <c r="W84" i="13" s="1"/>
  <c r="S84" i="13"/>
  <c r="X84" i="13" s="1"/>
  <c r="T84" i="13"/>
  <c r="Y84" i="13" s="1"/>
  <c r="U84" i="13"/>
  <c r="Z84" i="13" s="1"/>
  <c r="Q85" i="13"/>
  <c r="V85" i="13" s="1"/>
  <c r="R85" i="13"/>
  <c r="W85" i="13" s="1"/>
  <c r="S85" i="13"/>
  <c r="X85" i="13" s="1"/>
  <c r="T85" i="13"/>
  <c r="Y85" i="13" s="1"/>
  <c r="U85" i="13"/>
  <c r="Z85" i="13" s="1"/>
  <c r="Q86" i="13"/>
  <c r="V86" i="13" s="1"/>
  <c r="R86" i="13"/>
  <c r="W86" i="13" s="1"/>
  <c r="S86" i="13"/>
  <c r="X86" i="13" s="1"/>
  <c r="T86" i="13"/>
  <c r="Y86" i="13" s="1"/>
  <c r="U86" i="13"/>
  <c r="Z86" i="13" s="1"/>
  <c r="Q87" i="13"/>
  <c r="V87" i="13" s="1"/>
  <c r="R87" i="13"/>
  <c r="W87" i="13" s="1"/>
  <c r="S87" i="13"/>
  <c r="X87" i="13" s="1"/>
  <c r="T87" i="13"/>
  <c r="Y87" i="13" s="1"/>
  <c r="U87" i="13"/>
  <c r="Z87" i="13" s="1"/>
  <c r="Q88" i="13"/>
  <c r="V88" i="13" s="1"/>
  <c r="R88" i="13"/>
  <c r="W88" i="13" s="1"/>
  <c r="S88" i="13"/>
  <c r="X88" i="13" s="1"/>
  <c r="T88" i="13"/>
  <c r="Y88" i="13" s="1"/>
  <c r="U88" i="13"/>
  <c r="Z88" i="13" s="1"/>
  <c r="Q89" i="13"/>
  <c r="V89" i="13" s="1"/>
  <c r="R89" i="13"/>
  <c r="W89" i="13" s="1"/>
  <c r="S89" i="13"/>
  <c r="X89" i="13" s="1"/>
  <c r="T89" i="13"/>
  <c r="Y89" i="13" s="1"/>
  <c r="U89" i="13"/>
  <c r="Z89" i="13" s="1"/>
  <c r="Q90" i="13"/>
  <c r="V90" i="13" s="1"/>
  <c r="R90" i="13"/>
  <c r="W90" i="13" s="1"/>
  <c r="S90" i="13"/>
  <c r="X90" i="13" s="1"/>
  <c r="T90" i="13"/>
  <c r="Y90" i="13" s="1"/>
  <c r="U90" i="13"/>
  <c r="Z90" i="13" s="1"/>
  <c r="Q91" i="13"/>
  <c r="V91" i="13" s="1"/>
  <c r="R91" i="13"/>
  <c r="W91" i="13" s="1"/>
  <c r="S91" i="13"/>
  <c r="X91" i="13" s="1"/>
  <c r="T91" i="13"/>
  <c r="Y91" i="13" s="1"/>
  <c r="U91" i="13"/>
  <c r="Z91" i="13" s="1"/>
  <c r="Q92" i="13"/>
  <c r="V92" i="13" s="1"/>
  <c r="R92" i="13"/>
  <c r="W92" i="13" s="1"/>
  <c r="S92" i="13"/>
  <c r="X92" i="13" s="1"/>
  <c r="T92" i="13"/>
  <c r="Y92" i="13" s="1"/>
  <c r="U92" i="13"/>
  <c r="Z92" i="13" s="1"/>
  <c r="Q93" i="13"/>
  <c r="V93" i="13" s="1"/>
  <c r="R93" i="13"/>
  <c r="W93" i="13" s="1"/>
  <c r="S93" i="13"/>
  <c r="X93" i="13" s="1"/>
  <c r="T93" i="13"/>
  <c r="Y93" i="13" s="1"/>
  <c r="U93" i="13"/>
  <c r="Z93" i="13" s="1"/>
  <c r="Q94" i="13"/>
  <c r="V94" i="13" s="1"/>
  <c r="R94" i="13"/>
  <c r="W94" i="13" s="1"/>
  <c r="S94" i="13"/>
  <c r="X94" i="13" s="1"/>
  <c r="T94" i="13"/>
  <c r="Y94" i="13" s="1"/>
  <c r="U94" i="13"/>
  <c r="Z94" i="13" s="1"/>
  <c r="Q95" i="13"/>
  <c r="V95" i="13" s="1"/>
  <c r="R95" i="13"/>
  <c r="W95" i="13" s="1"/>
  <c r="S95" i="13"/>
  <c r="X95" i="13" s="1"/>
  <c r="T95" i="13"/>
  <c r="Y95" i="13" s="1"/>
  <c r="U95" i="13"/>
  <c r="Z95" i="13" s="1"/>
  <c r="Q96" i="13"/>
  <c r="V96" i="13" s="1"/>
  <c r="R96" i="13"/>
  <c r="W96" i="13" s="1"/>
  <c r="S96" i="13"/>
  <c r="X96" i="13" s="1"/>
  <c r="T96" i="13"/>
  <c r="Y96" i="13" s="1"/>
  <c r="U96" i="13"/>
  <c r="Z96" i="13" s="1"/>
  <c r="Q97" i="13"/>
  <c r="V97" i="13" s="1"/>
  <c r="R97" i="13"/>
  <c r="W97" i="13" s="1"/>
  <c r="S97" i="13"/>
  <c r="X97" i="13" s="1"/>
  <c r="T97" i="13"/>
  <c r="Y97" i="13" s="1"/>
  <c r="U97" i="13"/>
  <c r="Z97" i="13" s="1"/>
  <c r="Q98" i="13"/>
  <c r="V98" i="13" s="1"/>
  <c r="R98" i="13"/>
  <c r="W98" i="13" s="1"/>
  <c r="S98" i="13"/>
  <c r="X98" i="13" s="1"/>
  <c r="T98" i="13"/>
  <c r="Y98" i="13" s="1"/>
  <c r="U98" i="13"/>
  <c r="Z98" i="13" s="1"/>
  <c r="Q99" i="13"/>
  <c r="V99" i="13" s="1"/>
  <c r="R99" i="13"/>
  <c r="W99" i="13" s="1"/>
  <c r="S99" i="13"/>
  <c r="X99" i="13" s="1"/>
  <c r="T99" i="13"/>
  <c r="Y99" i="13" s="1"/>
  <c r="U99" i="13"/>
  <c r="Z99" i="13" s="1"/>
  <c r="Q100" i="13"/>
  <c r="V100" i="13" s="1"/>
  <c r="R100" i="13"/>
  <c r="W100" i="13" s="1"/>
  <c r="S100" i="13"/>
  <c r="X100" i="13" s="1"/>
  <c r="T100" i="13"/>
  <c r="Y100" i="13" s="1"/>
  <c r="U100" i="13"/>
  <c r="Z100" i="13" s="1"/>
  <c r="Q101" i="13"/>
  <c r="V101" i="13" s="1"/>
  <c r="R101" i="13"/>
  <c r="W101" i="13" s="1"/>
  <c r="S101" i="13"/>
  <c r="X101" i="13" s="1"/>
  <c r="T101" i="13"/>
  <c r="Y101" i="13" s="1"/>
  <c r="U101" i="13"/>
  <c r="Z101" i="13" s="1"/>
  <c r="Q102" i="13"/>
  <c r="V102" i="13" s="1"/>
  <c r="R102" i="13"/>
  <c r="W102" i="13" s="1"/>
  <c r="S102" i="13"/>
  <c r="X102" i="13" s="1"/>
  <c r="T102" i="13"/>
  <c r="Y102" i="13" s="1"/>
  <c r="U102" i="13"/>
  <c r="Z102" i="13" s="1"/>
  <c r="Q103" i="13"/>
  <c r="V103" i="13" s="1"/>
  <c r="R103" i="13"/>
  <c r="W103" i="13" s="1"/>
  <c r="S103" i="13"/>
  <c r="X103" i="13" s="1"/>
  <c r="T103" i="13"/>
  <c r="Y103" i="13" s="1"/>
  <c r="U103" i="13"/>
  <c r="Z103" i="13" s="1"/>
  <c r="Q104" i="13"/>
  <c r="V104" i="13" s="1"/>
  <c r="R104" i="13"/>
  <c r="W104" i="13" s="1"/>
  <c r="S104" i="13"/>
  <c r="X104" i="13" s="1"/>
  <c r="T104" i="13"/>
  <c r="Y104" i="13" s="1"/>
  <c r="U104" i="13"/>
  <c r="Z104" i="13" s="1"/>
  <c r="Q105" i="13"/>
  <c r="V105" i="13" s="1"/>
  <c r="R105" i="13"/>
  <c r="W105" i="13" s="1"/>
  <c r="S105" i="13"/>
  <c r="X105" i="13" s="1"/>
  <c r="T105" i="13"/>
  <c r="Y105" i="13" s="1"/>
  <c r="U105" i="13"/>
  <c r="Z105" i="13" s="1"/>
  <c r="Q106" i="13"/>
  <c r="V106" i="13" s="1"/>
  <c r="R106" i="13"/>
  <c r="W106" i="13" s="1"/>
  <c r="S106" i="13"/>
  <c r="X106" i="13" s="1"/>
  <c r="T106" i="13"/>
  <c r="Y106" i="13" s="1"/>
  <c r="U106" i="13"/>
  <c r="Z106" i="13" s="1"/>
  <c r="Q107" i="13"/>
  <c r="V107" i="13" s="1"/>
  <c r="R107" i="13"/>
  <c r="W107" i="13" s="1"/>
  <c r="S107" i="13"/>
  <c r="X107" i="13" s="1"/>
  <c r="T107" i="13"/>
  <c r="Y107" i="13" s="1"/>
  <c r="U107" i="13"/>
  <c r="Z107" i="13" s="1"/>
  <c r="Q108" i="13"/>
  <c r="V108" i="13" s="1"/>
  <c r="R108" i="13"/>
  <c r="W108" i="13" s="1"/>
  <c r="S108" i="13"/>
  <c r="X108" i="13" s="1"/>
  <c r="T108" i="13"/>
  <c r="Y108" i="13" s="1"/>
  <c r="U108" i="13"/>
  <c r="Z108" i="13" s="1"/>
  <c r="Q109" i="13"/>
  <c r="V109" i="13" s="1"/>
  <c r="R109" i="13"/>
  <c r="W109" i="13" s="1"/>
  <c r="S109" i="13"/>
  <c r="X109" i="13" s="1"/>
  <c r="T109" i="13"/>
  <c r="Y109" i="13" s="1"/>
  <c r="U109" i="13"/>
  <c r="Z109" i="13" s="1"/>
  <c r="Q110" i="13"/>
  <c r="V110" i="13" s="1"/>
  <c r="R110" i="13"/>
  <c r="W110" i="13" s="1"/>
  <c r="S110" i="13"/>
  <c r="X110" i="13" s="1"/>
  <c r="T110" i="13"/>
  <c r="Y110" i="13" s="1"/>
  <c r="U110" i="13"/>
  <c r="Z110" i="13" s="1"/>
  <c r="Q111" i="13"/>
  <c r="V111" i="13" s="1"/>
  <c r="R111" i="13"/>
  <c r="W111" i="13" s="1"/>
  <c r="S111" i="13"/>
  <c r="X111" i="13" s="1"/>
  <c r="T111" i="13"/>
  <c r="Y111" i="13" s="1"/>
  <c r="U111" i="13"/>
  <c r="Z111" i="13" s="1"/>
  <c r="Q112" i="13"/>
  <c r="V112" i="13" s="1"/>
  <c r="R112" i="13"/>
  <c r="W112" i="13" s="1"/>
  <c r="S112" i="13"/>
  <c r="X112" i="13" s="1"/>
  <c r="T112" i="13"/>
  <c r="Y112" i="13" s="1"/>
  <c r="U112" i="13"/>
  <c r="Z112" i="13" s="1"/>
  <c r="Q113" i="13"/>
  <c r="V113" i="13" s="1"/>
  <c r="R113" i="13"/>
  <c r="W113" i="13" s="1"/>
  <c r="S113" i="13"/>
  <c r="X113" i="13" s="1"/>
  <c r="T113" i="13"/>
  <c r="Y113" i="13" s="1"/>
  <c r="U113" i="13"/>
  <c r="Z113" i="13" s="1"/>
  <c r="Q114" i="13"/>
  <c r="V114" i="13" s="1"/>
  <c r="R114" i="13"/>
  <c r="W114" i="13" s="1"/>
  <c r="S114" i="13"/>
  <c r="X114" i="13" s="1"/>
  <c r="T114" i="13"/>
  <c r="Y114" i="13" s="1"/>
  <c r="U114" i="13"/>
  <c r="Z114" i="13" s="1"/>
  <c r="Q115" i="13"/>
  <c r="V115" i="13" s="1"/>
  <c r="R115" i="13"/>
  <c r="W115" i="13" s="1"/>
  <c r="S115" i="13"/>
  <c r="X115" i="13" s="1"/>
  <c r="T115" i="13"/>
  <c r="Y115" i="13" s="1"/>
  <c r="U115" i="13"/>
  <c r="Z115" i="13" s="1"/>
  <c r="Q116" i="13"/>
  <c r="V116" i="13" s="1"/>
  <c r="R116" i="13"/>
  <c r="W116" i="13" s="1"/>
  <c r="S116" i="13"/>
  <c r="X116" i="13" s="1"/>
  <c r="T116" i="13"/>
  <c r="Y116" i="13" s="1"/>
  <c r="U116" i="13"/>
  <c r="Z116" i="13" s="1"/>
  <c r="Q117" i="13"/>
  <c r="V117" i="13" s="1"/>
  <c r="R117" i="13"/>
  <c r="W117" i="13" s="1"/>
  <c r="S117" i="13"/>
  <c r="X117" i="13" s="1"/>
  <c r="T117" i="13"/>
  <c r="Y117" i="13" s="1"/>
  <c r="U117" i="13"/>
  <c r="Z117" i="13" s="1"/>
  <c r="Q118" i="13"/>
  <c r="V118" i="13" s="1"/>
  <c r="R118" i="13"/>
  <c r="W118" i="13" s="1"/>
  <c r="S118" i="13"/>
  <c r="X118" i="13" s="1"/>
  <c r="T118" i="13"/>
  <c r="Y118" i="13" s="1"/>
  <c r="U118" i="13"/>
  <c r="Z118" i="13" s="1"/>
  <c r="Q119" i="13"/>
  <c r="V119" i="13" s="1"/>
  <c r="R119" i="13"/>
  <c r="W119" i="13" s="1"/>
  <c r="S119" i="13"/>
  <c r="X119" i="13" s="1"/>
  <c r="T119" i="13"/>
  <c r="Y119" i="13" s="1"/>
  <c r="U119" i="13"/>
  <c r="Z119" i="13" s="1"/>
  <c r="Q120" i="13"/>
  <c r="V120" i="13" s="1"/>
  <c r="R120" i="13"/>
  <c r="W120" i="13" s="1"/>
  <c r="S120" i="13"/>
  <c r="X120" i="13" s="1"/>
  <c r="T120" i="13"/>
  <c r="Y120" i="13" s="1"/>
  <c r="U120" i="13"/>
  <c r="Z120" i="13" s="1"/>
  <c r="Q121" i="13"/>
  <c r="V121" i="13" s="1"/>
  <c r="R121" i="13"/>
  <c r="W121" i="13" s="1"/>
  <c r="S121" i="13"/>
  <c r="X121" i="13" s="1"/>
  <c r="T121" i="13"/>
  <c r="Y121" i="13" s="1"/>
  <c r="U121" i="13"/>
  <c r="Z121" i="13" s="1"/>
  <c r="Q122" i="13"/>
  <c r="V122" i="13" s="1"/>
  <c r="R122" i="13"/>
  <c r="W122" i="13" s="1"/>
  <c r="S122" i="13"/>
  <c r="X122" i="13" s="1"/>
  <c r="T122" i="13"/>
  <c r="Y122" i="13" s="1"/>
  <c r="U122" i="13"/>
  <c r="Z122" i="13" s="1"/>
  <c r="Q123" i="13"/>
  <c r="V123" i="13" s="1"/>
  <c r="R123" i="13"/>
  <c r="W123" i="13" s="1"/>
  <c r="S123" i="13"/>
  <c r="X123" i="13" s="1"/>
  <c r="T123" i="13"/>
  <c r="Y123" i="13" s="1"/>
  <c r="U123" i="13"/>
  <c r="Z123" i="13" s="1"/>
  <c r="Q124" i="13"/>
  <c r="V124" i="13" s="1"/>
  <c r="R124" i="13"/>
  <c r="W124" i="13" s="1"/>
  <c r="S124" i="13"/>
  <c r="X124" i="13" s="1"/>
  <c r="T124" i="13"/>
  <c r="Y124" i="13" s="1"/>
  <c r="U124" i="13"/>
  <c r="Z124" i="13" s="1"/>
  <c r="E42" i="15"/>
  <c r="E46" i="15" s="1"/>
  <c r="G42" i="15"/>
  <c r="G46" i="15" s="1"/>
  <c r="I42" i="15"/>
  <c r="I46" i="15" s="1"/>
  <c r="K42" i="15"/>
  <c r="K46" i="15" s="1"/>
  <c r="L42" i="15"/>
  <c r="S42" i="15" s="1"/>
  <c r="X42" i="15" s="1"/>
  <c r="E73" i="15"/>
  <c r="E77" i="15" s="1"/>
  <c r="G73" i="15"/>
  <c r="G77" i="15" s="1"/>
  <c r="I73" i="15"/>
  <c r="I77" i="15" s="1"/>
  <c r="K73" i="15"/>
  <c r="K77" i="15" s="1"/>
  <c r="E79" i="15"/>
  <c r="E86" i="15" s="1"/>
  <c r="G79" i="15"/>
  <c r="G86" i="15" s="1"/>
  <c r="I79" i="15"/>
  <c r="I86" i="15" s="1"/>
  <c r="K79" i="15"/>
  <c r="K86" i="15" s="1"/>
  <c r="E80" i="15"/>
  <c r="E87" i="15" s="1"/>
  <c r="G80" i="15"/>
  <c r="G87" i="15" s="1"/>
  <c r="I80" i="15"/>
  <c r="I87" i="15" s="1"/>
  <c r="K80" i="15"/>
  <c r="K87" i="15" s="1"/>
  <c r="E82" i="15"/>
  <c r="E88" i="15" s="1"/>
  <c r="G82" i="15"/>
  <c r="G88" i="15" s="1"/>
  <c r="I82" i="15"/>
  <c r="I88" i="15" s="1"/>
  <c r="K82" i="15"/>
  <c r="K88" i="15" s="1"/>
  <c r="E94" i="15"/>
  <c r="E98" i="15" s="1"/>
  <c r="G94" i="15"/>
  <c r="G98" i="15" s="1"/>
  <c r="I94" i="15"/>
  <c r="I98" i="15" s="1"/>
  <c r="K94" i="15"/>
  <c r="K98" i="15" s="1"/>
  <c r="E99" i="15"/>
  <c r="E105" i="15" s="1"/>
  <c r="G99" i="15"/>
  <c r="G105" i="15" s="1"/>
  <c r="I99" i="15"/>
  <c r="I105" i="15" s="1"/>
  <c r="K99" i="15"/>
  <c r="K105" i="15" s="1"/>
  <c r="E100" i="15"/>
  <c r="E106" i="15" s="1"/>
  <c r="G100" i="15"/>
  <c r="G106" i="15" s="1"/>
  <c r="I100" i="15"/>
  <c r="I106" i="15" s="1"/>
  <c r="K100" i="15"/>
  <c r="K106" i="15" s="1"/>
  <c r="E101" i="15"/>
  <c r="E107" i="15" s="1"/>
  <c r="G101" i="15"/>
  <c r="G107" i="15" s="1"/>
  <c r="I101" i="15"/>
  <c r="I107" i="15" s="1"/>
  <c r="K101" i="15"/>
  <c r="K107" i="15" s="1"/>
  <c r="C4" i="15"/>
  <c r="D4" i="15"/>
  <c r="O4" i="15" s="1"/>
  <c r="E4" i="15"/>
  <c r="F4" i="15"/>
  <c r="P4" i="15" s="1"/>
  <c r="U4" i="15" s="1"/>
  <c r="G4" i="15"/>
  <c r="H4" i="15"/>
  <c r="Q4" i="15" s="1"/>
  <c r="V4" i="15" s="1"/>
  <c r="I4" i="15"/>
  <c r="J4" i="15"/>
  <c r="R4" i="15" s="1"/>
  <c r="W4" i="15" s="1"/>
  <c r="K4" i="15"/>
  <c r="L4" i="15"/>
  <c r="S4" i="15" s="1"/>
  <c r="X4" i="15" s="1"/>
  <c r="C5" i="15"/>
  <c r="C6" i="15" s="1"/>
  <c r="D5" i="15"/>
  <c r="O5" i="15" s="1"/>
  <c r="T5" i="15" s="1"/>
  <c r="E5" i="15"/>
  <c r="E6" i="15" s="1"/>
  <c r="F5" i="15"/>
  <c r="P5" i="15" s="1"/>
  <c r="U5" i="15" s="1"/>
  <c r="G5" i="15"/>
  <c r="G6" i="15" s="1"/>
  <c r="H5" i="15"/>
  <c r="Q5" i="15" s="1"/>
  <c r="V5" i="15" s="1"/>
  <c r="I5" i="15"/>
  <c r="I6" i="15" s="1"/>
  <c r="J5" i="15"/>
  <c r="R5" i="15" s="1"/>
  <c r="W5" i="15" s="1"/>
  <c r="K5" i="15"/>
  <c r="K6" i="15" s="1"/>
  <c r="L5" i="15"/>
  <c r="L6" i="15" s="1"/>
  <c r="C7" i="15"/>
  <c r="D7" i="15"/>
  <c r="E7" i="15"/>
  <c r="F7" i="15"/>
  <c r="P7" i="15" s="1"/>
  <c r="U7" i="15" s="1"/>
  <c r="G7" i="15"/>
  <c r="H7" i="15"/>
  <c r="Q7" i="15" s="1"/>
  <c r="V7" i="15" s="1"/>
  <c r="I7" i="15"/>
  <c r="J7" i="15"/>
  <c r="R7" i="15" s="1"/>
  <c r="W7" i="15" s="1"/>
  <c r="K7" i="15"/>
  <c r="L7" i="15"/>
  <c r="S7" i="15" s="1"/>
  <c r="X7" i="15" s="1"/>
  <c r="C8" i="15"/>
  <c r="D8" i="15"/>
  <c r="O8" i="15" s="1"/>
  <c r="T8" i="15" s="1"/>
  <c r="E8" i="15"/>
  <c r="F8" i="15"/>
  <c r="G8" i="15"/>
  <c r="H8" i="15"/>
  <c r="Q8" i="15" s="1"/>
  <c r="V8" i="15" s="1"/>
  <c r="I8" i="15"/>
  <c r="J8" i="15"/>
  <c r="R8" i="15" s="1"/>
  <c r="W8" i="15" s="1"/>
  <c r="K8" i="15"/>
  <c r="L8" i="15"/>
  <c r="S8" i="15" s="1"/>
  <c r="X8" i="15" s="1"/>
  <c r="C9" i="15"/>
  <c r="D9" i="15"/>
  <c r="O9" i="15" s="1"/>
  <c r="T9" i="15" s="1"/>
  <c r="E9" i="15"/>
  <c r="F9" i="15"/>
  <c r="G9" i="15"/>
  <c r="H9" i="15"/>
  <c r="I9" i="15"/>
  <c r="J9" i="15"/>
  <c r="R9" i="15" s="1"/>
  <c r="W9" i="15" s="1"/>
  <c r="K9" i="15"/>
  <c r="L9" i="15"/>
  <c r="S9" i="15" s="1"/>
  <c r="X9" i="15" s="1"/>
  <c r="C10" i="15"/>
  <c r="D10" i="15"/>
  <c r="O10" i="15" s="1"/>
  <c r="T10" i="15" s="1"/>
  <c r="E10" i="15"/>
  <c r="F10" i="15"/>
  <c r="P10" i="15" s="1"/>
  <c r="U10" i="15" s="1"/>
  <c r="G10" i="15"/>
  <c r="H10" i="15"/>
  <c r="Q10" i="15" s="1"/>
  <c r="V10" i="15" s="1"/>
  <c r="I10" i="15"/>
  <c r="J10" i="15"/>
  <c r="R10" i="15" s="1"/>
  <c r="W10" i="15" s="1"/>
  <c r="K10" i="15"/>
  <c r="L10" i="15"/>
  <c r="S10" i="15" s="1"/>
  <c r="X10" i="15" s="1"/>
  <c r="C11" i="15"/>
  <c r="D11" i="15"/>
  <c r="O11" i="15" s="1"/>
  <c r="T11" i="15" s="1"/>
  <c r="E11" i="15"/>
  <c r="E13" i="15" s="1"/>
  <c r="F11" i="15"/>
  <c r="P11" i="15" s="1"/>
  <c r="U11" i="15" s="1"/>
  <c r="G11" i="15"/>
  <c r="G13" i="15" s="1"/>
  <c r="H11" i="15"/>
  <c r="Q11" i="15" s="1"/>
  <c r="V11" i="15" s="1"/>
  <c r="I11" i="15"/>
  <c r="J11" i="15"/>
  <c r="K11" i="15"/>
  <c r="K13" i="15" s="1"/>
  <c r="L11" i="15"/>
  <c r="L13" i="15" s="1"/>
  <c r="C12" i="15"/>
  <c r="C13" i="15" s="1"/>
  <c r="P12" i="15"/>
  <c r="U12" i="15" s="1"/>
  <c r="C14" i="15"/>
  <c r="D14" i="15"/>
  <c r="O14" i="15" s="1"/>
  <c r="T14" i="15" s="1"/>
  <c r="E14" i="15"/>
  <c r="F14" i="15"/>
  <c r="P14" i="15" s="1"/>
  <c r="U14" i="15" s="1"/>
  <c r="G14" i="15"/>
  <c r="H14" i="15"/>
  <c r="Q14" i="15" s="1"/>
  <c r="V14" i="15" s="1"/>
  <c r="I14" i="15"/>
  <c r="J14" i="15"/>
  <c r="R14" i="15" s="1"/>
  <c r="W14" i="15" s="1"/>
  <c r="K14" i="15"/>
  <c r="L14" i="15"/>
  <c r="S14" i="15" s="1"/>
  <c r="X14" i="15" s="1"/>
  <c r="D15" i="15"/>
  <c r="O15" i="15" s="1"/>
  <c r="T15" i="15" s="1"/>
  <c r="E15" i="15"/>
  <c r="F15" i="15"/>
  <c r="G15" i="15"/>
  <c r="H15" i="15"/>
  <c r="Q15" i="15" s="1"/>
  <c r="V15" i="15" s="1"/>
  <c r="I15" i="15"/>
  <c r="J15" i="15"/>
  <c r="R15" i="15" s="1"/>
  <c r="W15" i="15" s="1"/>
  <c r="K15" i="15"/>
  <c r="L15" i="15"/>
  <c r="C16" i="15"/>
  <c r="D16" i="15"/>
  <c r="O16" i="15" s="1"/>
  <c r="T16" i="15" s="1"/>
  <c r="E16" i="15"/>
  <c r="F16" i="15"/>
  <c r="P16" i="15" s="1"/>
  <c r="U16" i="15" s="1"/>
  <c r="G16" i="15"/>
  <c r="H16" i="15"/>
  <c r="Q16" i="15" s="1"/>
  <c r="V16" i="15" s="1"/>
  <c r="I16" i="15"/>
  <c r="J16" i="15"/>
  <c r="R16" i="15" s="1"/>
  <c r="W16" i="15" s="1"/>
  <c r="K16" i="15"/>
  <c r="L16" i="15"/>
  <c r="S16" i="15" s="1"/>
  <c r="X16" i="15" s="1"/>
  <c r="C17" i="15"/>
  <c r="D17" i="15"/>
  <c r="O17" i="15" s="1"/>
  <c r="T17" i="15" s="1"/>
  <c r="E17" i="15"/>
  <c r="F17" i="15"/>
  <c r="P17" i="15" s="1"/>
  <c r="U17" i="15" s="1"/>
  <c r="G17" i="15"/>
  <c r="H17" i="15"/>
  <c r="Q17" i="15" s="1"/>
  <c r="V17" i="15" s="1"/>
  <c r="I17" i="15"/>
  <c r="J17" i="15"/>
  <c r="R17" i="15" s="1"/>
  <c r="W17" i="15" s="1"/>
  <c r="K17" i="15"/>
  <c r="L17" i="15"/>
  <c r="S17" i="15" s="1"/>
  <c r="X17" i="15" s="1"/>
  <c r="C18" i="15"/>
  <c r="C20" i="15" s="1"/>
  <c r="D18" i="15"/>
  <c r="D20" i="15" s="1"/>
  <c r="E18" i="15"/>
  <c r="E20" i="15" s="1"/>
  <c r="F18" i="15"/>
  <c r="F20" i="15" s="1"/>
  <c r="G18" i="15"/>
  <c r="G20" i="15" s="1"/>
  <c r="H18" i="15"/>
  <c r="Q18" i="15" s="1"/>
  <c r="V18" i="15" s="1"/>
  <c r="I18" i="15"/>
  <c r="I20" i="15" s="1"/>
  <c r="J18" i="15"/>
  <c r="R18" i="15" s="1"/>
  <c r="W18" i="15" s="1"/>
  <c r="K18" i="15"/>
  <c r="K20" i="15" s="1"/>
  <c r="L18" i="15"/>
  <c r="S18" i="15" s="1"/>
  <c r="X18" i="15" s="1"/>
  <c r="C19" i="15"/>
  <c r="D19" i="15"/>
  <c r="O19" i="15" s="1"/>
  <c r="T19" i="15" s="1"/>
  <c r="E19" i="15"/>
  <c r="F19" i="15"/>
  <c r="P19" i="15" s="1"/>
  <c r="U19" i="15" s="1"/>
  <c r="G19" i="15"/>
  <c r="H19" i="15"/>
  <c r="Q19" i="15" s="1"/>
  <c r="V19" i="15" s="1"/>
  <c r="I19" i="15"/>
  <c r="J19" i="15"/>
  <c r="R19" i="15" s="1"/>
  <c r="W19" i="15" s="1"/>
  <c r="K19" i="15"/>
  <c r="L19" i="15"/>
  <c r="S19" i="15" s="1"/>
  <c r="X19" i="15" s="1"/>
  <c r="C21" i="15"/>
  <c r="D21" i="15"/>
  <c r="O21" i="15" s="1"/>
  <c r="T21" i="15" s="1"/>
  <c r="E21" i="15"/>
  <c r="F21" i="15"/>
  <c r="P21" i="15" s="1"/>
  <c r="U21" i="15" s="1"/>
  <c r="G21" i="15"/>
  <c r="H21" i="15"/>
  <c r="Q21" i="15" s="1"/>
  <c r="V21" i="15" s="1"/>
  <c r="I21" i="15"/>
  <c r="J21" i="15"/>
  <c r="R21" i="15" s="1"/>
  <c r="W21" i="15" s="1"/>
  <c r="K21" i="15"/>
  <c r="L21" i="15"/>
  <c r="S21" i="15" s="1"/>
  <c r="X21" i="15" s="1"/>
  <c r="C22" i="15"/>
  <c r="D22" i="15"/>
  <c r="O22" i="15" s="1"/>
  <c r="T22" i="15" s="1"/>
  <c r="E22" i="15"/>
  <c r="F22" i="15"/>
  <c r="P22" i="15" s="1"/>
  <c r="U22" i="15" s="1"/>
  <c r="G22" i="15"/>
  <c r="H22" i="15"/>
  <c r="Q22" i="15" s="1"/>
  <c r="V22" i="15" s="1"/>
  <c r="I22" i="15"/>
  <c r="J22" i="15"/>
  <c r="R22" i="15" s="1"/>
  <c r="W22" i="15" s="1"/>
  <c r="K22" i="15"/>
  <c r="L22" i="15"/>
  <c r="S22" i="15" s="1"/>
  <c r="X22" i="15" s="1"/>
  <c r="D23" i="15"/>
  <c r="D24" i="15" s="1"/>
  <c r="E23" i="15"/>
  <c r="E24" i="15" s="1"/>
  <c r="F23" i="15"/>
  <c r="G23" i="15"/>
  <c r="G24" i="15" s="1"/>
  <c r="H23" i="15"/>
  <c r="Q23" i="15" s="1"/>
  <c r="V23" i="15" s="1"/>
  <c r="I23" i="15"/>
  <c r="I24" i="15" s="1"/>
  <c r="J23" i="15"/>
  <c r="J24" i="15" s="1"/>
  <c r="K23" i="15"/>
  <c r="K24" i="15" s="1"/>
  <c r="L23" i="15"/>
  <c r="S23" i="15" s="1"/>
  <c r="X23" i="15" s="1"/>
  <c r="C25" i="15"/>
  <c r="D25" i="15"/>
  <c r="O25" i="15" s="1"/>
  <c r="T25" i="15" s="1"/>
  <c r="E25" i="15"/>
  <c r="F25" i="15"/>
  <c r="G25" i="15"/>
  <c r="H25" i="15"/>
  <c r="Q25" i="15" s="1"/>
  <c r="V25" i="15" s="1"/>
  <c r="I25" i="15"/>
  <c r="J25" i="15"/>
  <c r="R25" i="15" s="1"/>
  <c r="W25" i="15" s="1"/>
  <c r="K25" i="15"/>
  <c r="L25" i="15"/>
  <c r="S25" i="15" s="1"/>
  <c r="X25" i="15" s="1"/>
  <c r="C26" i="15"/>
  <c r="D26" i="15"/>
  <c r="O26" i="15" s="1"/>
  <c r="T26" i="15" s="1"/>
  <c r="E26" i="15"/>
  <c r="F26" i="15"/>
  <c r="P26" i="15" s="1"/>
  <c r="U26" i="15" s="1"/>
  <c r="G26" i="15"/>
  <c r="H26" i="15"/>
  <c r="Q26" i="15" s="1"/>
  <c r="V26" i="15" s="1"/>
  <c r="I26" i="15"/>
  <c r="J26" i="15"/>
  <c r="R26" i="15" s="1"/>
  <c r="W26" i="15" s="1"/>
  <c r="K26" i="15"/>
  <c r="L26" i="15"/>
  <c r="S26" i="15" s="1"/>
  <c r="X26" i="15" s="1"/>
  <c r="C27" i="15"/>
  <c r="D27" i="15"/>
  <c r="O27" i="15" s="1"/>
  <c r="T27" i="15" s="1"/>
  <c r="E27" i="15"/>
  <c r="F27" i="15"/>
  <c r="P27" i="15" s="1"/>
  <c r="U27" i="15" s="1"/>
  <c r="G27" i="15"/>
  <c r="H27" i="15"/>
  <c r="Q27" i="15" s="1"/>
  <c r="V27" i="15" s="1"/>
  <c r="I27" i="15"/>
  <c r="J27" i="15"/>
  <c r="R27" i="15" s="1"/>
  <c r="W27" i="15" s="1"/>
  <c r="K27" i="15"/>
  <c r="L27" i="15"/>
  <c r="S27" i="15" s="1"/>
  <c r="X27" i="15" s="1"/>
  <c r="C28" i="15"/>
  <c r="D28" i="15"/>
  <c r="O28" i="15" s="1"/>
  <c r="T28" i="15" s="1"/>
  <c r="E28" i="15"/>
  <c r="F28" i="15"/>
  <c r="P28" i="15" s="1"/>
  <c r="U28" i="15" s="1"/>
  <c r="G28" i="15"/>
  <c r="H28" i="15"/>
  <c r="I28" i="15"/>
  <c r="J28" i="15"/>
  <c r="K28" i="15"/>
  <c r="L28" i="15"/>
  <c r="S28" i="15" s="1"/>
  <c r="X28" i="15" s="1"/>
  <c r="C29" i="15"/>
  <c r="D29" i="15"/>
  <c r="O29" i="15" s="1"/>
  <c r="T29" i="15" s="1"/>
  <c r="E29" i="15"/>
  <c r="F29" i="15"/>
  <c r="P29" i="15" s="1"/>
  <c r="U29" i="15" s="1"/>
  <c r="G29" i="15"/>
  <c r="H29" i="15"/>
  <c r="Q29" i="15" s="1"/>
  <c r="V29" i="15" s="1"/>
  <c r="I29" i="15"/>
  <c r="J29" i="15"/>
  <c r="R29" i="15" s="1"/>
  <c r="W29" i="15" s="1"/>
  <c r="K29" i="15"/>
  <c r="L29" i="15"/>
  <c r="S29" i="15" s="1"/>
  <c r="X29" i="15" s="1"/>
  <c r="C30" i="15"/>
  <c r="D30" i="15"/>
  <c r="O30" i="15" s="1"/>
  <c r="T30" i="15" s="1"/>
  <c r="E30" i="15"/>
  <c r="F30" i="15"/>
  <c r="P30" i="15" s="1"/>
  <c r="U30" i="15" s="1"/>
  <c r="G30" i="15"/>
  <c r="H30" i="15"/>
  <c r="Q30" i="15" s="1"/>
  <c r="V30" i="15" s="1"/>
  <c r="I30" i="15"/>
  <c r="J30" i="15"/>
  <c r="K30" i="15"/>
  <c r="L30" i="15"/>
  <c r="S30" i="15" s="1"/>
  <c r="X30" i="15" s="1"/>
  <c r="C31" i="15"/>
  <c r="D31" i="15"/>
  <c r="O31" i="15" s="1"/>
  <c r="T31" i="15" s="1"/>
  <c r="E31" i="15"/>
  <c r="F31" i="15"/>
  <c r="P31" i="15" s="1"/>
  <c r="U31" i="15" s="1"/>
  <c r="G31" i="15"/>
  <c r="H31" i="15"/>
  <c r="Q31" i="15" s="1"/>
  <c r="V31" i="15" s="1"/>
  <c r="I31" i="15"/>
  <c r="J31" i="15"/>
  <c r="R31" i="15" s="1"/>
  <c r="W31" i="15" s="1"/>
  <c r="K31" i="15"/>
  <c r="L31" i="15"/>
  <c r="S31" i="15" s="1"/>
  <c r="X31" i="15" s="1"/>
  <c r="C32" i="15"/>
  <c r="D32" i="15"/>
  <c r="O32" i="15" s="1"/>
  <c r="T32" i="15" s="1"/>
  <c r="E32" i="15"/>
  <c r="F32" i="15"/>
  <c r="P32" i="15" s="1"/>
  <c r="U32" i="15" s="1"/>
  <c r="G32" i="15"/>
  <c r="H32" i="15"/>
  <c r="Q32" i="15" s="1"/>
  <c r="V32" i="15" s="1"/>
  <c r="I32" i="15"/>
  <c r="J32" i="15"/>
  <c r="R32" i="15" s="1"/>
  <c r="W32" i="15" s="1"/>
  <c r="K32" i="15"/>
  <c r="L32" i="15"/>
  <c r="S32" i="15" s="1"/>
  <c r="X32" i="15" s="1"/>
  <c r="C33" i="15"/>
  <c r="D33" i="15"/>
  <c r="O33" i="15" s="1"/>
  <c r="T33" i="15" s="1"/>
  <c r="E33" i="15"/>
  <c r="F33" i="15"/>
  <c r="P33" i="15" s="1"/>
  <c r="U33" i="15" s="1"/>
  <c r="G33" i="15"/>
  <c r="H33" i="15"/>
  <c r="Q33" i="15" s="1"/>
  <c r="V33" i="15" s="1"/>
  <c r="I33" i="15"/>
  <c r="J33" i="15"/>
  <c r="R33" i="15" s="1"/>
  <c r="W33" i="15" s="1"/>
  <c r="K33" i="15"/>
  <c r="L33" i="15"/>
  <c r="S33" i="15" s="1"/>
  <c r="X33" i="15" s="1"/>
  <c r="C34" i="15"/>
  <c r="D34" i="15"/>
  <c r="O34" i="15" s="1"/>
  <c r="T34" i="15" s="1"/>
  <c r="E34" i="15"/>
  <c r="F34" i="15"/>
  <c r="P34" i="15" s="1"/>
  <c r="U34" i="15" s="1"/>
  <c r="G34" i="15"/>
  <c r="H34" i="15"/>
  <c r="Q34" i="15" s="1"/>
  <c r="V34" i="15" s="1"/>
  <c r="I34" i="15"/>
  <c r="J34" i="15"/>
  <c r="R34" i="15" s="1"/>
  <c r="W34" i="15" s="1"/>
  <c r="K34" i="15"/>
  <c r="L34" i="15"/>
  <c r="S34" i="15" s="1"/>
  <c r="X34" i="15" s="1"/>
  <c r="C35" i="15"/>
  <c r="D35" i="15"/>
  <c r="O35" i="15" s="1"/>
  <c r="T35" i="15" s="1"/>
  <c r="E35" i="15"/>
  <c r="F35" i="15"/>
  <c r="P35" i="15" s="1"/>
  <c r="U35" i="15" s="1"/>
  <c r="G35" i="15"/>
  <c r="H35" i="15"/>
  <c r="Q35" i="15" s="1"/>
  <c r="V35" i="15" s="1"/>
  <c r="I35" i="15"/>
  <c r="J35" i="15"/>
  <c r="R35" i="15" s="1"/>
  <c r="W35" i="15" s="1"/>
  <c r="K35" i="15"/>
  <c r="L35" i="15"/>
  <c r="C36" i="15"/>
  <c r="D36" i="15"/>
  <c r="O36" i="15" s="1"/>
  <c r="T36" i="15" s="1"/>
  <c r="E36" i="15"/>
  <c r="F36" i="15"/>
  <c r="P36" i="15" s="1"/>
  <c r="U36" i="15" s="1"/>
  <c r="G36" i="15"/>
  <c r="H36" i="15"/>
  <c r="Q36" i="15" s="1"/>
  <c r="V36" i="15" s="1"/>
  <c r="I36" i="15"/>
  <c r="J36" i="15"/>
  <c r="R36" i="15" s="1"/>
  <c r="W36" i="15" s="1"/>
  <c r="K36" i="15"/>
  <c r="L36" i="15"/>
  <c r="S36" i="15" s="1"/>
  <c r="X36" i="15" s="1"/>
  <c r="C37" i="15"/>
  <c r="C38" i="15" s="1"/>
  <c r="D37" i="15"/>
  <c r="D38" i="15" s="1"/>
  <c r="E37" i="15"/>
  <c r="E38" i="15" s="1"/>
  <c r="F37" i="15"/>
  <c r="G37" i="15"/>
  <c r="G38" i="15" s="1"/>
  <c r="H37" i="15"/>
  <c r="H38" i="15" s="1"/>
  <c r="I37" i="15"/>
  <c r="I38" i="15" s="1"/>
  <c r="J37" i="15"/>
  <c r="J38" i="15" s="1"/>
  <c r="K37" i="15"/>
  <c r="K38" i="15" s="1"/>
  <c r="L37" i="15"/>
  <c r="L38" i="15" s="1"/>
  <c r="C39" i="15"/>
  <c r="D39" i="15"/>
  <c r="O39" i="15" s="1"/>
  <c r="T39" i="15" s="1"/>
  <c r="E39" i="15"/>
  <c r="F39" i="15"/>
  <c r="P39" i="15" s="1"/>
  <c r="U39" i="15" s="1"/>
  <c r="G39" i="15"/>
  <c r="H39" i="15"/>
  <c r="Q39" i="15" s="1"/>
  <c r="V39" i="15" s="1"/>
  <c r="I39" i="15"/>
  <c r="J39" i="15"/>
  <c r="R39" i="15" s="1"/>
  <c r="W39" i="15" s="1"/>
  <c r="K39" i="15"/>
  <c r="L39" i="15"/>
  <c r="S39" i="15" s="1"/>
  <c r="X39" i="15" s="1"/>
  <c r="C40" i="15"/>
  <c r="C41" i="15" s="1"/>
  <c r="D40" i="15"/>
  <c r="D41" i="15" s="1"/>
  <c r="E40" i="15"/>
  <c r="E41" i="15" s="1"/>
  <c r="F40" i="15"/>
  <c r="F41" i="15" s="1"/>
  <c r="G40" i="15"/>
  <c r="G41" i="15" s="1"/>
  <c r="H40" i="15"/>
  <c r="H41" i="15" s="1"/>
  <c r="I40" i="15"/>
  <c r="I41" i="15" s="1"/>
  <c r="J40" i="15"/>
  <c r="J41" i="15" s="1"/>
  <c r="K40" i="15"/>
  <c r="K41" i="15" s="1"/>
  <c r="L40" i="15"/>
  <c r="L41" i="15" s="1"/>
  <c r="C42" i="15"/>
  <c r="C46" i="15" s="1"/>
  <c r="C43" i="15"/>
  <c r="D43" i="15"/>
  <c r="O43" i="15" s="1"/>
  <c r="T43" i="15" s="1"/>
  <c r="E43" i="15"/>
  <c r="F43" i="15"/>
  <c r="P43" i="15" s="1"/>
  <c r="U43" i="15" s="1"/>
  <c r="G43" i="15"/>
  <c r="H43" i="15"/>
  <c r="Q43" i="15" s="1"/>
  <c r="V43" i="15" s="1"/>
  <c r="I43" i="15"/>
  <c r="J43" i="15"/>
  <c r="R43" i="15" s="1"/>
  <c r="W43" i="15" s="1"/>
  <c r="K43" i="15"/>
  <c r="L43" i="15"/>
  <c r="S43" i="15" s="1"/>
  <c r="X43" i="15" s="1"/>
  <c r="C44" i="15"/>
  <c r="D44" i="15"/>
  <c r="O44" i="15" s="1"/>
  <c r="T44" i="15" s="1"/>
  <c r="E44" i="15"/>
  <c r="F44" i="15"/>
  <c r="P44" i="15" s="1"/>
  <c r="U44" i="15" s="1"/>
  <c r="G44" i="15"/>
  <c r="H44" i="15"/>
  <c r="Q44" i="15" s="1"/>
  <c r="V44" i="15" s="1"/>
  <c r="I44" i="15"/>
  <c r="J44" i="15"/>
  <c r="R44" i="15" s="1"/>
  <c r="W44" i="15" s="1"/>
  <c r="K44" i="15"/>
  <c r="L44" i="15"/>
  <c r="S44" i="15" s="1"/>
  <c r="X44" i="15" s="1"/>
  <c r="C45" i="15"/>
  <c r="D45" i="15"/>
  <c r="O45" i="15" s="1"/>
  <c r="T45" i="15" s="1"/>
  <c r="E45" i="15"/>
  <c r="F45" i="15"/>
  <c r="P45" i="15" s="1"/>
  <c r="U45" i="15" s="1"/>
  <c r="G45" i="15"/>
  <c r="H45" i="15"/>
  <c r="Q45" i="15" s="1"/>
  <c r="V45" i="15" s="1"/>
  <c r="I45" i="15"/>
  <c r="J45" i="15"/>
  <c r="R45" i="15" s="1"/>
  <c r="W45" i="15" s="1"/>
  <c r="K45" i="15"/>
  <c r="L45" i="15"/>
  <c r="S45" i="15" s="1"/>
  <c r="X45" i="15" s="1"/>
  <c r="C47" i="15"/>
  <c r="D47" i="15"/>
  <c r="O47" i="15" s="1"/>
  <c r="T47" i="15" s="1"/>
  <c r="E47" i="15"/>
  <c r="F47" i="15"/>
  <c r="P47" i="15" s="1"/>
  <c r="U47" i="15" s="1"/>
  <c r="G47" i="15"/>
  <c r="H47" i="15"/>
  <c r="Q47" i="15" s="1"/>
  <c r="V47" i="15" s="1"/>
  <c r="I47" i="15"/>
  <c r="J47" i="15"/>
  <c r="R47" i="15" s="1"/>
  <c r="W47" i="15" s="1"/>
  <c r="K47" i="15"/>
  <c r="L47" i="15"/>
  <c r="S47" i="15" s="1"/>
  <c r="X47" i="15" s="1"/>
  <c r="C48" i="15"/>
  <c r="C49" i="15" s="1"/>
  <c r="D48" i="15"/>
  <c r="O48" i="15" s="1"/>
  <c r="T48" i="15" s="1"/>
  <c r="E48" i="15"/>
  <c r="E49" i="15" s="1"/>
  <c r="F48" i="15"/>
  <c r="P48" i="15" s="1"/>
  <c r="U48" i="15" s="1"/>
  <c r="G48" i="15"/>
  <c r="G49" i="15" s="1"/>
  <c r="H48" i="15"/>
  <c r="I48" i="15"/>
  <c r="I49" i="15" s="1"/>
  <c r="J48" i="15"/>
  <c r="R48" i="15" s="1"/>
  <c r="W48" i="15" s="1"/>
  <c r="K48" i="15"/>
  <c r="K49" i="15" s="1"/>
  <c r="L48" i="15"/>
  <c r="S48" i="15" s="1"/>
  <c r="X48" i="15" s="1"/>
  <c r="C50" i="15"/>
  <c r="D50" i="15"/>
  <c r="E50" i="15"/>
  <c r="F50" i="15"/>
  <c r="P50" i="15" s="1"/>
  <c r="U50" i="15" s="1"/>
  <c r="G50" i="15"/>
  <c r="H50" i="15"/>
  <c r="Q50" i="15" s="1"/>
  <c r="V50" i="15" s="1"/>
  <c r="I50" i="15"/>
  <c r="J50" i="15"/>
  <c r="R50" i="15" s="1"/>
  <c r="W50" i="15" s="1"/>
  <c r="K50" i="15"/>
  <c r="L50" i="15"/>
  <c r="C51" i="15"/>
  <c r="D51" i="15"/>
  <c r="E51" i="15"/>
  <c r="F51" i="15"/>
  <c r="G51" i="15"/>
  <c r="H51" i="15"/>
  <c r="I51" i="15"/>
  <c r="J51" i="15"/>
  <c r="R51" i="15" s="1"/>
  <c r="W51" i="15" s="1"/>
  <c r="K51" i="15"/>
  <c r="L51" i="15"/>
  <c r="S51" i="15" s="1"/>
  <c r="X51" i="15" s="1"/>
  <c r="C52" i="15"/>
  <c r="D52" i="15"/>
  <c r="O52" i="15" s="1"/>
  <c r="T52" i="15" s="1"/>
  <c r="E52" i="15"/>
  <c r="F52" i="15"/>
  <c r="P52" i="15" s="1"/>
  <c r="U52" i="15" s="1"/>
  <c r="G52" i="15"/>
  <c r="H52" i="15"/>
  <c r="Q52" i="15" s="1"/>
  <c r="V52" i="15" s="1"/>
  <c r="I52" i="15"/>
  <c r="J52" i="15"/>
  <c r="R52" i="15" s="1"/>
  <c r="W52" i="15" s="1"/>
  <c r="K52" i="15"/>
  <c r="L52" i="15"/>
  <c r="S52" i="15" s="1"/>
  <c r="X52" i="15" s="1"/>
  <c r="C53" i="15"/>
  <c r="D53" i="15"/>
  <c r="E53" i="15"/>
  <c r="F53" i="15"/>
  <c r="P53" i="15" s="1"/>
  <c r="U53" i="15" s="1"/>
  <c r="G53" i="15"/>
  <c r="H53" i="15"/>
  <c r="I53" i="15"/>
  <c r="J53" i="15"/>
  <c r="K53" i="15"/>
  <c r="L53" i="15"/>
  <c r="S53" i="15" s="1"/>
  <c r="X53" i="15" s="1"/>
  <c r="C54" i="15"/>
  <c r="D54" i="15"/>
  <c r="O54" i="15" s="1"/>
  <c r="T54" i="15" s="1"/>
  <c r="E54" i="15"/>
  <c r="F54" i="15"/>
  <c r="G54" i="15"/>
  <c r="H54" i="15"/>
  <c r="Q54" i="15" s="1"/>
  <c r="V54" i="15" s="1"/>
  <c r="I54" i="15"/>
  <c r="J54" i="15"/>
  <c r="K54" i="15"/>
  <c r="L54" i="15"/>
  <c r="C55" i="15"/>
  <c r="E55" i="15"/>
  <c r="F55" i="15"/>
  <c r="G55" i="15"/>
  <c r="I55" i="15"/>
  <c r="J55" i="15"/>
  <c r="K55" i="15"/>
  <c r="C56" i="15"/>
  <c r="D56" i="15"/>
  <c r="O56" i="15" s="1"/>
  <c r="T56" i="15" s="1"/>
  <c r="E56" i="15"/>
  <c r="F56" i="15"/>
  <c r="P56" i="15" s="1"/>
  <c r="U56" i="15" s="1"/>
  <c r="G56" i="15"/>
  <c r="H56" i="15"/>
  <c r="Q56" i="15" s="1"/>
  <c r="V56" i="15" s="1"/>
  <c r="I56" i="15"/>
  <c r="J56" i="15"/>
  <c r="R56" i="15" s="1"/>
  <c r="W56" i="15" s="1"/>
  <c r="K56" i="15"/>
  <c r="L56" i="15"/>
  <c r="S56" i="15" s="1"/>
  <c r="X56" i="15" s="1"/>
  <c r="C57" i="15"/>
  <c r="D57" i="15"/>
  <c r="O57" i="15" s="1"/>
  <c r="T57" i="15" s="1"/>
  <c r="E57" i="15"/>
  <c r="F57" i="15"/>
  <c r="P57" i="15" s="1"/>
  <c r="U57" i="15" s="1"/>
  <c r="G57" i="15"/>
  <c r="H57" i="15"/>
  <c r="Q57" i="15" s="1"/>
  <c r="V57" i="15" s="1"/>
  <c r="I57" i="15"/>
  <c r="J57" i="15"/>
  <c r="R57" i="15" s="1"/>
  <c r="W57" i="15" s="1"/>
  <c r="K57" i="15"/>
  <c r="L57" i="15"/>
  <c r="S57" i="15" s="1"/>
  <c r="X57" i="15" s="1"/>
  <c r="C58" i="15"/>
  <c r="D58" i="15"/>
  <c r="O58" i="15" s="1"/>
  <c r="T58" i="15" s="1"/>
  <c r="E58" i="15"/>
  <c r="F58" i="15"/>
  <c r="P58" i="15" s="1"/>
  <c r="U58" i="15" s="1"/>
  <c r="G58" i="15"/>
  <c r="H58" i="15"/>
  <c r="Q58" i="15" s="1"/>
  <c r="V58" i="15" s="1"/>
  <c r="I58" i="15"/>
  <c r="J58" i="15"/>
  <c r="R58" i="15" s="1"/>
  <c r="W58" i="15" s="1"/>
  <c r="K58" i="15"/>
  <c r="L58" i="15"/>
  <c r="S58" i="15" s="1"/>
  <c r="X58" i="15" s="1"/>
  <c r="C59" i="15"/>
  <c r="D59" i="15"/>
  <c r="O59" i="15" s="1"/>
  <c r="T59" i="15" s="1"/>
  <c r="E59" i="15"/>
  <c r="F59" i="15"/>
  <c r="P59" i="15" s="1"/>
  <c r="U59" i="15" s="1"/>
  <c r="G59" i="15"/>
  <c r="H59" i="15"/>
  <c r="Q59" i="15" s="1"/>
  <c r="V59" i="15" s="1"/>
  <c r="I59" i="15"/>
  <c r="J59" i="15"/>
  <c r="R59" i="15" s="1"/>
  <c r="W59" i="15" s="1"/>
  <c r="K59" i="15"/>
  <c r="L59" i="15"/>
  <c r="S59" i="15" s="1"/>
  <c r="X59" i="15" s="1"/>
  <c r="C60" i="15"/>
  <c r="D60" i="15"/>
  <c r="O60" i="15" s="1"/>
  <c r="T60" i="15" s="1"/>
  <c r="E60" i="15"/>
  <c r="F60" i="15"/>
  <c r="P60" i="15" s="1"/>
  <c r="U60" i="15" s="1"/>
  <c r="G60" i="15"/>
  <c r="H60" i="15"/>
  <c r="Q60" i="15" s="1"/>
  <c r="V60" i="15" s="1"/>
  <c r="I60" i="15"/>
  <c r="J60" i="15"/>
  <c r="R60" i="15" s="1"/>
  <c r="W60" i="15" s="1"/>
  <c r="K60" i="15"/>
  <c r="L60" i="15"/>
  <c r="S60" i="15" s="1"/>
  <c r="X60" i="15" s="1"/>
  <c r="C61" i="15"/>
  <c r="D61" i="15"/>
  <c r="E61" i="15"/>
  <c r="F61" i="15"/>
  <c r="G61" i="15"/>
  <c r="H61" i="15"/>
  <c r="Q61" i="15" s="1"/>
  <c r="V61" i="15" s="1"/>
  <c r="I61" i="15"/>
  <c r="J61" i="15"/>
  <c r="R61" i="15" s="1"/>
  <c r="W61" i="15" s="1"/>
  <c r="K61" i="15"/>
  <c r="L61" i="15"/>
  <c r="S61" i="15" s="1"/>
  <c r="X61" i="15" s="1"/>
  <c r="C62" i="15"/>
  <c r="D62" i="15"/>
  <c r="O62" i="15" s="1"/>
  <c r="T62" i="15" s="1"/>
  <c r="E62" i="15"/>
  <c r="F62" i="15"/>
  <c r="P62" i="15" s="1"/>
  <c r="U62" i="15" s="1"/>
  <c r="G62" i="15"/>
  <c r="H62" i="15"/>
  <c r="Q62" i="15" s="1"/>
  <c r="V62" i="15" s="1"/>
  <c r="I62" i="15"/>
  <c r="J62" i="15"/>
  <c r="K62" i="15"/>
  <c r="L62" i="15"/>
  <c r="S62" i="15" s="1"/>
  <c r="X62" i="15" s="1"/>
  <c r="C63" i="15"/>
  <c r="D63" i="15"/>
  <c r="O63" i="15" s="1"/>
  <c r="T63" i="15" s="1"/>
  <c r="E63" i="15"/>
  <c r="F63" i="15"/>
  <c r="P63" i="15" s="1"/>
  <c r="U63" i="15" s="1"/>
  <c r="G63" i="15"/>
  <c r="H63" i="15"/>
  <c r="Q63" i="15" s="1"/>
  <c r="V63" i="15" s="1"/>
  <c r="I63" i="15"/>
  <c r="J63" i="15"/>
  <c r="R63" i="15" s="1"/>
  <c r="W63" i="15" s="1"/>
  <c r="K63" i="15"/>
  <c r="L63" i="15"/>
  <c r="S63" i="15" s="1"/>
  <c r="X63" i="15" s="1"/>
  <c r="C64" i="15"/>
  <c r="D64" i="15"/>
  <c r="O64" i="15" s="1"/>
  <c r="T64" i="15" s="1"/>
  <c r="E64" i="15"/>
  <c r="F64" i="15"/>
  <c r="P64" i="15" s="1"/>
  <c r="U64" i="15" s="1"/>
  <c r="G64" i="15"/>
  <c r="H64" i="15"/>
  <c r="Q64" i="15" s="1"/>
  <c r="V64" i="15" s="1"/>
  <c r="I64" i="15"/>
  <c r="J64" i="15"/>
  <c r="R64" i="15" s="1"/>
  <c r="W64" i="15" s="1"/>
  <c r="K64" i="15"/>
  <c r="L64" i="15"/>
  <c r="S64" i="15" s="1"/>
  <c r="X64" i="15" s="1"/>
  <c r="C65" i="15"/>
  <c r="D65" i="15"/>
  <c r="O65" i="15" s="1"/>
  <c r="T65" i="15" s="1"/>
  <c r="E65" i="15"/>
  <c r="F65" i="15"/>
  <c r="P65" i="15" s="1"/>
  <c r="U65" i="15" s="1"/>
  <c r="G65" i="15"/>
  <c r="H65" i="15"/>
  <c r="Q65" i="15" s="1"/>
  <c r="V65" i="15" s="1"/>
  <c r="I65" i="15"/>
  <c r="J65" i="15"/>
  <c r="R65" i="15" s="1"/>
  <c r="W65" i="15" s="1"/>
  <c r="K65" i="15"/>
  <c r="L65" i="15"/>
  <c r="S65" i="15" s="1"/>
  <c r="X65" i="15" s="1"/>
  <c r="C66" i="15"/>
  <c r="C67" i="15" s="1"/>
  <c r="D66" i="15"/>
  <c r="O66" i="15" s="1"/>
  <c r="T66" i="15" s="1"/>
  <c r="E66" i="15"/>
  <c r="E67" i="15" s="1"/>
  <c r="F66" i="15"/>
  <c r="G66" i="15"/>
  <c r="G67" i="15" s="1"/>
  <c r="H66" i="15"/>
  <c r="Q66" i="15" s="1"/>
  <c r="V66" i="15" s="1"/>
  <c r="I66" i="15"/>
  <c r="I67" i="15" s="1"/>
  <c r="J66" i="15"/>
  <c r="R66" i="15" s="1"/>
  <c r="W66" i="15" s="1"/>
  <c r="K66" i="15"/>
  <c r="K67" i="15" s="1"/>
  <c r="L66" i="15"/>
  <c r="L67" i="15" s="1"/>
  <c r="C68" i="15"/>
  <c r="D68" i="15"/>
  <c r="O68" i="15" s="1"/>
  <c r="T68" i="15" s="1"/>
  <c r="E68" i="15"/>
  <c r="F68" i="15"/>
  <c r="P68" i="15" s="1"/>
  <c r="U68" i="15" s="1"/>
  <c r="G68" i="15"/>
  <c r="H68" i="15"/>
  <c r="Q68" i="15" s="1"/>
  <c r="V68" i="15" s="1"/>
  <c r="I68" i="15"/>
  <c r="J68" i="15"/>
  <c r="R68" i="15" s="1"/>
  <c r="W68" i="15" s="1"/>
  <c r="K68" i="15"/>
  <c r="L68" i="15"/>
  <c r="S68" i="15" s="1"/>
  <c r="X68" i="15" s="1"/>
  <c r="C69" i="15"/>
  <c r="D69" i="15"/>
  <c r="O69" i="15" s="1"/>
  <c r="T69" i="15" s="1"/>
  <c r="E69" i="15"/>
  <c r="F69" i="15"/>
  <c r="P69" i="15" s="1"/>
  <c r="U69" i="15" s="1"/>
  <c r="G69" i="15"/>
  <c r="H69" i="15"/>
  <c r="Q69" i="15" s="1"/>
  <c r="V69" i="15" s="1"/>
  <c r="I69" i="15"/>
  <c r="J69" i="15"/>
  <c r="R69" i="15" s="1"/>
  <c r="W69" i="15" s="1"/>
  <c r="K69" i="15"/>
  <c r="L69" i="15"/>
  <c r="S69" i="15" s="1"/>
  <c r="X69" i="15" s="1"/>
  <c r="C70" i="15"/>
  <c r="C72" i="15" s="1"/>
  <c r="D70" i="15"/>
  <c r="O70" i="15" s="1"/>
  <c r="T70" i="15" s="1"/>
  <c r="E70" i="15"/>
  <c r="E72" i="15" s="1"/>
  <c r="F70" i="15"/>
  <c r="G70" i="15"/>
  <c r="G72" i="15" s="1"/>
  <c r="H70" i="15"/>
  <c r="Q70" i="15" s="1"/>
  <c r="V70" i="15" s="1"/>
  <c r="I70" i="15"/>
  <c r="I72" i="15" s="1"/>
  <c r="J70" i="15"/>
  <c r="J72" i="15" s="1"/>
  <c r="K70" i="15"/>
  <c r="K72" i="15" s="1"/>
  <c r="L70" i="15"/>
  <c r="C71" i="15"/>
  <c r="D71" i="15"/>
  <c r="O71" i="15" s="1"/>
  <c r="T71" i="15" s="1"/>
  <c r="E71" i="15"/>
  <c r="F71" i="15"/>
  <c r="P71" i="15" s="1"/>
  <c r="U71" i="15" s="1"/>
  <c r="G71" i="15"/>
  <c r="H71" i="15"/>
  <c r="Q71" i="15" s="1"/>
  <c r="V71" i="15" s="1"/>
  <c r="I71" i="15"/>
  <c r="J71" i="15"/>
  <c r="R71" i="15" s="1"/>
  <c r="W71" i="15" s="1"/>
  <c r="K71" i="15"/>
  <c r="L71" i="15"/>
  <c r="S71" i="15" s="1"/>
  <c r="X71" i="15" s="1"/>
  <c r="C73" i="15"/>
  <c r="C77" i="15" s="1"/>
  <c r="C74" i="15"/>
  <c r="D74" i="15"/>
  <c r="O74" i="15" s="1"/>
  <c r="T74" i="15" s="1"/>
  <c r="E74" i="15"/>
  <c r="F74" i="15"/>
  <c r="P74" i="15" s="1"/>
  <c r="U74" i="15" s="1"/>
  <c r="G74" i="15"/>
  <c r="H74" i="15"/>
  <c r="Q74" i="15" s="1"/>
  <c r="V74" i="15" s="1"/>
  <c r="I74" i="15"/>
  <c r="J74" i="15"/>
  <c r="R74" i="15" s="1"/>
  <c r="W74" i="15" s="1"/>
  <c r="K74" i="15"/>
  <c r="L74" i="15"/>
  <c r="S74" i="15" s="1"/>
  <c r="X74" i="15" s="1"/>
  <c r="C75" i="15"/>
  <c r="C78" i="15" s="1"/>
  <c r="D75" i="15"/>
  <c r="O75" i="15" s="1"/>
  <c r="T75" i="15" s="1"/>
  <c r="E75" i="15"/>
  <c r="E78" i="15" s="1"/>
  <c r="F75" i="15"/>
  <c r="F78" i="15" s="1"/>
  <c r="G75" i="15"/>
  <c r="G78" i="15" s="1"/>
  <c r="H75" i="15"/>
  <c r="Q75" i="15" s="1"/>
  <c r="V75" i="15" s="1"/>
  <c r="I75" i="15"/>
  <c r="I78" i="15" s="1"/>
  <c r="J75" i="15"/>
  <c r="R75" i="15" s="1"/>
  <c r="W75" i="15" s="1"/>
  <c r="K75" i="15"/>
  <c r="K78" i="15" s="1"/>
  <c r="L75" i="15"/>
  <c r="L78" i="15" s="1"/>
  <c r="C76" i="15"/>
  <c r="D76" i="15"/>
  <c r="O76" i="15" s="1"/>
  <c r="T76" i="15" s="1"/>
  <c r="E76" i="15"/>
  <c r="F76" i="15"/>
  <c r="P76" i="15" s="1"/>
  <c r="U76" i="15" s="1"/>
  <c r="G76" i="15"/>
  <c r="H76" i="15"/>
  <c r="Q76" i="15" s="1"/>
  <c r="V76" i="15" s="1"/>
  <c r="I76" i="15"/>
  <c r="J76" i="15"/>
  <c r="R76" i="15" s="1"/>
  <c r="W76" i="15" s="1"/>
  <c r="K76" i="15"/>
  <c r="L76" i="15"/>
  <c r="S76" i="15" s="1"/>
  <c r="X76" i="15" s="1"/>
  <c r="C79" i="15"/>
  <c r="C86" i="15" s="1"/>
  <c r="C80" i="15"/>
  <c r="C87" i="15" s="1"/>
  <c r="C81" i="15"/>
  <c r="D81" i="15"/>
  <c r="O81" i="15" s="1"/>
  <c r="T81" i="15" s="1"/>
  <c r="E81" i="15"/>
  <c r="F81" i="15"/>
  <c r="P81" i="15" s="1"/>
  <c r="U81" i="15" s="1"/>
  <c r="G81" i="15"/>
  <c r="H81" i="15"/>
  <c r="Q81" i="15" s="1"/>
  <c r="V81" i="15" s="1"/>
  <c r="I81" i="15"/>
  <c r="J81" i="15"/>
  <c r="R81" i="15" s="1"/>
  <c r="W81" i="15" s="1"/>
  <c r="K81" i="15"/>
  <c r="L81" i="15"/>
  <c r="S81" i="15" s="1"/>
  <c r="X81" i="15" s="1"/>
  <c r="C82" i="15"/>
  <c r="C88" i="15" s="1"/>
  <c r="C83" i="15"/>
  <c r="D83" i="15"/>
  <c r="O83" i="15" s="1"/>
  <c r="T83" i="15" s="1"/>
  <c r="E83" i="15"/>
  <c r="F83" i="15"/>
  <c r="P83" i="15" s="1"/>
  <c r="U83" i="15" s="1"/>
  <c r="G83" i="15"/>
  <c r="H83" i="15"/>
  <c r="Q83" i="15" s="1"/>
  <c r="V83" i="15" s="1"/>
  <c r="I83" i="15"/>
  <c r="J83" i="15"/>
  <c r="R83" i="15" s="1"/>
  <c r="W83" i="15" s="1"/>
  <c r="K83" i="15"/>
  <c r="L83" i="15"/>
  <c r="S83" i="15" s="1"/>
  <c r="X83" i="15" s="1"/>
  <c r="C84" i="15"/>
  <c r="C89" i="15" s="1"/>
  <c r="D84" i="15"/>
  <c r="O84" i="15" s="1"/>
  <c r="T84" i="15" s="1"/>
  <c r="E84" i="15"/>
  <c r="E89" i="15" s="1"/>
  <c r="F84" i="15"/>
  <c r="G84" i="15"/>
  <c r="G89" i="15" s="1"/>
  <c r="H84" i="15"/>
  <c r="Q84" i="15" s="1"/>
  <c r="V84" i="15" s="1"/>
  <c r="I84" i="15"/>
  <c r="I89" i="15" s="1"/>
  <c r="J84" i="15"/>
  <c r="K84" i="15"/>
  <c r="K89" i="15" s="1"/>
  <c r="L84" i="15"/>
  <c r="L89" i="15" s="1"/>
  <c r="C85" i="15"/>
  <c r="D85" i="15"/>
  <c r="O85" i="15" s="1"/>
  <c r="T85" i="15" s="1"/>
  <c r="E85" i="15"/>
  <c r="F85" i="15"/>
  <c r="P85" i="15" s="1"/>
  <c r="U85" i="15" s="1"/>
  <c r="G85" i="15"/>
  <c r="H85" i="15"/>
  <c r="Q85" i="15" s="1"/>
  <c r="V85" i="15" s="1"/>
  <c r="I85" i="15"/>
  <c r="J85" i="15"/>
  <c r="R85" i="15" s="1"/>
  <c r="W85" i="15" s="1"/>
  <c r="K85" i="15"/>
  <c r="L85" i="15"/>
  <c r="S85" i="15" s="1"/>
  <c r="X85" i="15" s="1"/>
  <c r="C90" i="15"/>
  <c r="D90" i="15"/>
  <c r="O90" i="15" s="1"/>
  <c r="T90" i="15" s="1"/>
  <c r="E90" i="15"/>
  <c r="F90" i="15"/>
  <c r="P90" i="15" s="1"/>
  <c r="U90" i="15" s="1"/>
  <c r="G90" i="15"/>
  <c r="H90" i="15"/>
  <c r="Q90" i="15" s="1"/>
  <c r="V90" i="15" s="1"/>
  <c r="I90" i="15"/>
  <c r="J90" i="15"/>
  <c r="R90" i="15" s="1"/>
  <c r="W90" i="15" s="1"/>
  <c r="K90" i="15"/>
  <c r="L90" i="15"/>
  <c r="S90" i="15" s="1"/>
  <c r="X90" i="15" s="1"/>
  <c r="C91" i="15"/>
  <c r="D91" i="15"/>
  <c r="O91" i="15" s="1"/>
  <c r="T91" i="15" s="1"/>
  <c r="E91" i="15"/>
  <c r="F91" i="15"/>
  <c r="P91" i="15" s="1"/>
  <c r="U91" i="15" s="1"/>
  <c r="G91" i="15"/>
  <c r="H91" i="15"/>
  <c r="Q91" i="15" s="1"/>
  <c r="V91" i="15" s="1"/>
  <c r="I91" i="15"/>
  <c r="J91" i="15"/>
  <c r="R91" i="15" s="1"/>
  <c r="W91" i="15" s="1"/>
  <c r="K91" i="15"/>
  <c r="L91" i="15"/>
  <c r="S91" i="15" s="1"/>
  <c r="X91" i="15" s="1"/>
  <c r="C92" i="15"/>
  <c r="C93" i="15" s="1"/>
  <c r="D92" i="15"/>
  <c r="D93" i="15" s="1"/>
  <c r="E92" i="15"/>
  <c r="E93" i="15" s="1"/>
  <c r="F92" i="15"/>
  <c r="G92" i="15"/>
  <c r="G93" i="15" s="1"/>
  <c r="H92" i="15"/>
  <c r="H93" i="15" s="1"/>
  <c r="I92" i="15"/>
  <c r="I93" i="15" s="1"/>
  <c r="J92" i="15"/>
  <c r="K92" i="15"/>
  <c r="K93" i="15" s="1"/>
  <c r="L92" i="15"/>
  <c r="S92" i="15" s="1"/>
  <c r="X92" i="15" s="1"/>
  <c r="C94" i="15"/>
  <c r="C98" i="15" s="1"/>
  <c r="C95" i="15"/>
  <c r="D95" i="15"/>
  <c r="O95" i="15" s="1"/>
  <c r="T95" i="15" s="1"/>
  <c r="E95" i="15"/>
  <c r="F95" i="15"/>
  <c r="P95" i="15" s="1"/>
  <c r="U95" i="15" s="1"/>
  <c r="G95" i="15"/>
  <c r="H95" i="15"/>
  <c r="Q95" i="15" s="1"/>
  <c r="V95" i="15" s="1"/>
  <c r="I95" i="15"/>
  <c r="J95" i="15"/>
  <c r="R95" i="15" s="1"/>
  <c r="W95" i="15" s="1"/>
  <c r="K95" i="15"/>
  <c r="L95" i="15"/>
  <c r="S95" i="15" s="1"/>
  <c r="X95" i="15" s="1"/>
  <c r="C96" i="15"/>
  <c r="D96" i="15"/>
  <c r="O96" i="15" s="1"/>
  <c r="T96" i="15" s="1"/>
  <c r="E96" i="15"/>
  <c r="F96" i="15"/>
  <c r="P96" i="15" s="1"/>
  <c r="U96" i="15" s="1"/>
  <c r="G96" i="15"/>
  <c r="H96" i="15"/>
  <c r="Q96" i="15" s="1"/>
  <c r="V96" i="15" s="1"/>
  <c r="I96" i="15"/>
  <c r="J96" i="15"/>
  <c r="R96" i="15" s="1"/>
  <c r="W96" i="15" s="1"/>
  <c r="K96" i="15"/>
  <c r="L96" i="15"/>
  <c r="S96" i="15" s="1"/>
  <c r="X96" i="15" s="1"/>
  <c r="C97" i="15"/>
  <c r="D97" i="15"/>
  <c r="O97" i="15" s="1"/>
  <c r="T97" i="15" s="1"/>
  <c r="E97" i="15"/>
  <c r="F97" i="15"/>
  <c r="P97" i="15" s="1"/>
  <c r="U97" i="15" s="1"/>
  <c r="G97" i="15"/>
  <c r="H97" i="15"/>
  <c r="Q97" i="15" s="1"/>
  <c r="V97" i="15" s="1"/>
  <c r="I97" i="15"/>
  <c r="J97" i="15"/>
  <c r="R97" i="15" s="1"/>
  <c r="W97" i="15" s="1"/>
  <c r="K97" i="15"/>
  <c r="L97" i="15"/>
  <c r="S97" i="15" s="1"/>
  <c r="X97" i="15" s="1"/>
  <c r="C99" i="15"/>
  <c r="C105" i="15" s="1"/>
  <c r="C100" i="15"/>
  <c r="C106" i="15" s="1"/>
  <c r="C101" i="15"/>
  <c r="C107" i="15" s="1"/>
  <c r="C102" i="15"/>
  <c r="D102" i="15"/>
  <c r="O102" i="15" s="1"/>
  <c r="T102" i="15" s="1"/>
  <c r="E102" i="15"/>
  <c r="F102" i="15"/>
  <c r="P102" i="15" s="1"/>
  <c r="U102" i="15" s="1"/>
  <c r="G102" i="15"/>
  <c r="H102" i="15"/>
  <c r="Q102" i="15" s="1"/>
  <c r="V102" i="15" s="1"/>
  <c r="I102" i="15"/>
  <c r="J102" i="15"/>
  <c r="R102" i="15" s="1"/>
  <c r="W102" i="15" s="1"/>
  <c r="K102" i="15"/>
  <c r="L102" i="15"/>
  <c r="S102" i="15" s="1"/>
  <c r="X102" i="15" s="1"/>
  <c r="C103" i="15"/>
  <c r="D103" i="15"/>
  <c r="O103" i="15" s="1"/>
  <c r="T103" i="15" s="1"/>
  <c r="E103" i="15"/>
  <c r="F103" i="15"/>
  <c r="P103" i="15" s="1"/>
  <c r="U103" i="15" s="1"/>
  <c r="G103" i="15"/>
  <c r="H103" i="15"/>
  <c r="Q103" i="15" s="1"/>
  <c r="V103" i="15" s="1"/>
  <c r="I103" i="15"/>
  <c r="J103" i="15"/>
  <c r="R103" i="15" s="1"/>
  <c r="W103" i="15" s="1"/>
  <c r="K103" i="15"/>
  <c r="L103" i="15"/>
  <c r="S103" i="15" s="1"/>
  <c r="X103" i="15" s="1"/>
  <c r="C104" i="15"/>
  <c r="D104" i="15"/>
  <c r="O104" i="15" s="1"/>
  <c r="T104" i="15" s="1"/>
  <c r="E104" i="15"/>
  <c r="F104" i="15"/>
  <c r="P104" i="15" s="1"/>
  <c r="U104" i="15" s="1"/>
  <c r="G104" i="15"/>
  <c r="H104" i="15"/>
  <c r="Q104" i="15" s="1"/>
  <c r="V104" i="15" s="1"/>
  <c r="I104" i="15"/>
  <c r="J104" i="15"/>
  <c r="R104" i="15" s="1"/>
  <c r="W104" i="15" s="1"/>
  <c r="K104" i="15"/>
  <c r="L104" i="15"/>
  <c r="S104" i="15" s="1"/>
  <c r="X104" i="15" s="1"/>
  <c r="C109" i="15"/>
  <c r="D109" i="15"/>
  <c r="O109" i="15" s="1"/>
  <c r="T109" i="15" s="1"/>
  <c r="E109" i="15"/>
  <c r="F109" i="15"/>
  <c r="P109" i="15" s="1"/>
  <c r="U109" i="15" s="1"/>
  <c r="G109" i="15"/>
  <c r="H109" i="15"/>
  <c r="Q109" i="15" s="1"/>
  <c r="V109" i="15" s="1"/>
  <c r="I109" i="15"/>
  <c r="J109" i="15"/>
  <c r="R109" i="15" s="1"/>
  <c r="W109" i="15" s="1"/>
  <c r="K109" i="15"/>
  <c r="L109" i="15"/>
  <c r="S109" i="15" s="1"/>
  <c r="X109" i="15" s="1"/>
  <c r="C110" i="15"/>
  <c r="C111" i="15" s="1"/>
  <c r="D110" i="15"/>
  <c r="D111" i="15" s="1"/>
  <c r="E110" i="15"/>
  <c r="E111" i="15" s="1"/>
  <c r="F110" i="15"/>
  <c r="F111" i="15" s="1"/>
  <c r="G110" i="15"/>
  <c r="G111" i="15" s="1"/>
  <c r="H110" i="15"/>
  <c r="Q110" i="15" s="1"/>
  <c r="V110" i="15" s="1"/>
  <c r="I110" i="15"/>
  <c r="I111" i="15" s="1"/>
  <c r="J110" i="15"/>
  <c r="J111" i="15" s="1"/>
  <c r="K110" i="15"/>
  <c r="K111" i="15" s="1"/>
  <c r="L110" i="15"/>
  <c r="L111" i="15" s="1"/>
  <c r="C112" i="15"/>
  <c r="D112" i="15"/>
  <c r="O112" i="15" s="1"/>
  <c r="T112" i="15" s="1"/>
  <c r="E112" i="15"/>
  <c r="F112" i="15"/>
  <c r="P112" i="15" s="1"/>
  <c r="U112" i="15" s="1"/>
  <c r="G112" i="15"/>
  <c r="H112" i="15"/>
  <c r="Q112" i="15" s="1"/>
  <c r="V112" i="15" s="1"/>
  <c r="I112" i="15"/>
  <c r="J112" i="15"/>
  <c r="R112" i="15" s="1"/>
  <c r="W112" i="15" s="1"/>
  <c r="K112" i="15"/>
  <c r="L112" i="15"/>
  <c r="S112" i="15" s="1"/>
  <c r="X112" i="15" s="1"/>
  <c r="C113" i="15"/>
  <c r="D113" i="15"/>
  <c r="O113" i="15" s="1"/>
  <c r="T113" i="15" s="1"/>
  <c r="E113" i="15"/>
  <c r="F113" i="15"/>
  <c r="P113" i="15" s="1"/>
  <c r="U113" i="15" s="1"/>
  <c r="G113" i="15"/>
  <c r="H113" i="15"/>
  <c r="Q113" i="15" s="1"/>
  <c r="V113" i="15" s="1"/>
  <c r="I113" i="15"/>
  <c r="J113" i="15"/>
  <c r="R113" i="15" s="1"/>
  <c r="W113" i="15" s="1"/>
  <c r="K113" i="15"/>
  <c r="L113" i="15"/>
  <c r="S113" i="15" s="1"/>
  <c r="X113" i="15" s="1"/>
  <c r="C114" i="15"/>
  <c r="D114" i="15"/>
  <c r="E114" i="15"/>
  <c r="F114" i="15"/>
  <c r="P114" i="15" s="1"/>
  <c r="U114" i="15" s="1"/>
  <c r="G114" i="15"/>
  <c r="H114" i="15"/>
  <c r="I114" i="15"/>
  <c r="J114" i="15"/>
  <c r="K114" i="15"/>
  <c r="L114" i="15"/>
  <c r="C115" i="15"/>
  <c r="D115" i="15"/>
  <c r="O115" i="15" s="1"/>
  <c r="T115" i="15" s="1"/>
  <c r="E115" i="15"/>
  <c r="F115" i="15"/>
  <c r="P115" i="15" s="1"/>
  <c r="U115" i="15" s="1"/>
  <c r="G115" i="15"/>
  <c r="H115" i="15"/>
  <c r="Q115" i="15" s="1"/>
  <c r="V115" i="15" s="1"/>
  <c r="I115" i="15"/>
  <c r="J115" i="15"/>
  <c r="R115" i="15" s="1"/>
  <c r="W115" i="15" s="1"/>
  <c r="K115" i="15"/>
  <c r="L115" i="15"/>
  <c r="S115" i="15" s="1"/>
  <c r="X115" i="15" s="1"/>
  <c r="C116" i="15"/>
  <c r="C117" i="15" s="1"/>
  <c r="D116" i="15"/>
  <c r="O116" i="15" s="1"/>
  <c r="T116" i="15" s="1"/>
  <c r="E116" i="15"/>
  <c r="E117" i="15" s="1"/>
  <c r="F116" i="15"/>
  <c r="P116" i="15" s="1"/>
  <c r="U116" i="15" s="1"/>
  <c r="G116" i="15"/>
  <c r="G117" i="15" s="1"/>
  <c r="H116" i="15"/>
  <c r="Q116" i="15" s="1"/>
  <c r="V116" i="15" s="1"/>
  <c r="I116" i="15"/>
  <c r="I117" i="15" s="1"/>
  <c r="J116" i="15"/>
  <c r="R116" i="15" s="1"/>
  <c r="W116" i="15" s="1"/>
  <c r="K116" i="15"/>
  <c r="K117" i="15" s="1"/>
  <c r="L116" i="15"/>
  <c r="L117" i="15" s="1"/>
  <c r="C118" i="15"/>
  <c r="D118" i="15"/>
  <c r="E118" i="15"/>
  <c r="F118" i="15"/>
  <c r="P118" i="15" s="1"/>
  <c r="U118" i="15" s="1"/>
  <c r="G118" i="15"/>
  <c r="H118" i="15"/>
  <c r="I118" i="15"/>
  <c r="J118" i="15"/>
  <c r="K118" i="15"/>
  <c r="L118" i="15"/>
  <c r="S118" i="15" s="1"/>
  <c r="X118" i="15" s="1"/>
  <c r="C119" i="15"/>
  <c r="D119" i="15"/>
  <c r="O119" i="15" s="1"/>
  <c r="T119" i="15" s="1"/>
  <c r="E119" i="15"/>
  <c r="F119" i="15"/>
  <c r="P119" i="15" s="1"/>
  <c r="U119" i="15" s="1"/>
  <c r="G119" i="15"/>
  <c r="H119" i="15"/>
  <c r="Q119" i="15" s="1"/>
  <c r="V119" i="15" s="1"/>
  <c r="I119" i="15"/>
  <c r="J119" i="15"/>
  <c r="R119" i="15" s="1"/>
  <c r="W119" i="15" s="1"/>
  <c r="K119" i="15"/>
  <c r="L119" i="15"/>
  <c r="S119" i="15" s="1"/>
  <c r="X119" i="15" s="1"/>
  <c r="C120" i="15"/>
  <c r="D120" i="15"/>
  <c r="O120" i="15" s="1"/>
  <c r="T120" i="15" s="1"/>
  <c r="E120" i="15"/>
  <c r="F120" i="15"/>
  <c r="P120" i="15" s="1"/>
  <c r="U120" i="15" s="1"/>
  <c r="G120" i="15"/>
  <c r="H120" i="15"/>
  <c r="Q120" i="15" s="1"/>
  <c r="V120" i="15" s="1"/>
  <c r="I120" i="15"/>
  <c r="J120" i="15"/>
  <c r="R120" i="15" s="1"/>
  <c r="W120" i="15" s="1"/>
  <c r="K120" i="15"/>
  <c r="L120" i="15"/>
  <c r="S120" i="15" s="1"/>
  <c r="X120" i="15" s="1"/>
  <c r="C121" i="15"/>
  <c r="D121" i="15"/>
  <c r="E121" i="15"/>
  <c r="F121" i="15"/>
  <c r="P121" i="15" s="1"/>
  <c r="U121" i="15" s="1"/>
  <c r="G121" i="15"/>
  <c r="H121" i="15"/>
  <c r="Q121" i="15" s="1"/>
  <c r="V121" i="15" s="1"/>
  <c r="I121" i="15"/>
  <c r="J121" i="15"/>
  <c r="K121" i="15"/>
  <c r="L121" i="15"/>
  <c r="S121" i="15" s="1"/>
  <c r="X121" i="15" s="1"/>
  <c r="C122" i="15"/>
  <c r="D122" i="15"/>
  <c r="O122" i="15" s="1"/>
  <c r="T122" i="15" s="1"/>
  <c r="E122" i="15"/>
  <c r="F122" i="15"/>
  <c r="P122" i="15" s="1"/>
  <c r="U122" i="15" s="1"/>
  <c r="G122" i="15"/>
  <c r="H122" i="15"/>
  <c r="Q122" i="15" s="1"/>
  <c r="V122" i="15" s="1"/>
  <c r="I122" i="15"/>
  <c r="J122" i="15"/>
  <c r="R122" i="15" s="1"/>
  <c r="W122" i="15" s="1"/>
  <c r="K122" i="15"/>
  <c r="L122" i="15"/>
  <c r="S122" i="15" s="1"/>
  <c r="X122" i="15" s="1"/>
  <c r="C123" i="15"/>
  <c r="D123" i="15"/>
  <c r="E123" i="15"/>
  <c r="F123" i="15"/>
  <c r="P123" i="15" s="1"/>
  <c r="U123" i="15" s="1"/>
  <c r="G123" i="15"/>
  <c r="H123" i="15"/>
  <c r="Q123" i="15" s="1"/>
  <c r="V123" i="15" s="1"/>
  <c r="I123" i="15"/>
  <c r="J123" i="15"/>
  <c r="K123" i="15"/>
  <c r="L123" i="15"/>
  <c r="C124" i="15"/>
  <c r="D124" i="15"/>
  <c r="O124" i="15" s="1"/>
  <c r="T124" i="15" s="1"/>
  <c r="E124" i="15"/>
  <c r="F124" i="15"/>
  <c r="P124" i="15" s="1"/>
  <c r="U124" i="15" s="1"/>
  <c r="G124" i="15"/>
  <c r="H124" i="15"/>
  <c r="Q124" i="15" s="1"/>
  <c r="V124" i="15" s="1"/>
  <c r="I124" i="15"/>
  <c r="J124" i="15"/>
  <c r="R124" i="15" s="1"/>
  <c r="W124" i="15" s="1"/>
  <c r="K124" i="15"/>
  <c r="L124" i="15"/>
  <c r="S124" i="15" s="1"/>
  <c r="X124" i="15" s="1"/>
  <c r="C125" i="15"/>
  <c r="C126" i="15" s="1"/>
  <c r="D125" i="15"/>
  <c r="O125" i="15" s="1"/>
  <c r="T125" i="15" s="1"/>
  <c r="E125" i="15"/>
  <c r="E126" i="15" s="1"/>
  <c r="F125" i="15"/>
  <c r="P125" i="15" s="1"/>
  <c r="U125" i="15" s="1"/>
  <c r="G125" i="15"/>
  <c r="G126" i="15" s="1"/>
  <c r="H125" i="15"/>
  <c r="H126" i="15" s="1"/>
  <c r="I125" i="15"/>
  <c r="I126" i="15" s="1"/>
  <c r="J125" i="15"/>
  <c r="J126" i="15" s="1"/>
  <c r="K125" i="15"/>
  <c r="K126" i="15" s="1"/>
  <c r="L125" i="15"/>
  <c r="S125" i="15" s="1"/>
  <c r="X125" i="15" s="1"/>
  <c r="D127" i="15"/>
  <c r="E127" i="15"/>
  <c r="G127" i="15"/>
  <c r="H127" i="15"/>
  <c r="I127" i="15"/>
  <c r="K127" i="15"/>
  <c r="L127" i="15"/>
  <c r="S127" i="15" s="1"/>
  <c r="X127" i="15" s="1"/>
  <c r="C128" i="15"/>
  <c r="D128" i="15"/>
  <c r="O128" i="15" s="1"/>
  <c r="T128" i="15" s="1"/>
  <c r="E128" i="15"/>
  <c r="F128" i="15"/>
  <c r="P128" i="15" s="1"/>
  <c r="U128" i="15" s="1"/>
  <c r="G128" i="15"/>
  <c r="H128" i="15"/>
  <c r="Q128" i="15" s="1"/>
  <c r="V128" i="15" s="1"/>
  <c r="I128" i="15"/>
  <c r="J128" i="15"/>
  <c r="R128" i="15" s="1"/>
  <c r="W128" i="15" s="1"/>
  <c r="K128" i="15"/>
  <c r="L128" i="15"/>
  <c r="S128" i="15" s="1"/>
  <c r="X128" i="15" s="1"/>
  <c r="C129" i="15"/>
  <c r="C130" i="15" s="1"/>
  <c r="D129" i="15"/>
  <c r="E129" i="15"/>
  <c r="E130" i="15" s="1"/>
  <c r="F129" i="15"/>
  <c r="P129" i="15" s="1"/>
  <c r="U129" i="15" s="1"/>
  <c r="G129" i="15"/>
  <c r="G130" i="15" s="1"/>
  <c r="H129" i="15"/>
  <c r="H130" i="15" s="1"/>
  <c r="I129" i="15"/>
  <c r="I130" i="15" s="1"/>
  <c r="J129" i="15"/>
  <c r="R129" i="15" s="1"/>
  <c r="W129" i="15" s="1"/>
  <c r="K129" i="15"/>
  <c r="K130" i="15" s="1"/>
  <c r="L129" i="15"/>
  <c r="L130" i="15" s="1"/>
  <c r="C131" i="15"/>
  <c r="D131" i="15"/>
  <c r="E131" i="15"/>
  <c r="F131" i="15"/>
  <c r="P131" i="15" s="1"/>
  <c r="U131" i="15" s="1"/>
  <c r="G131" i="15"/>
  <c r="H131" i="15"/>
  <c r="Q131" i="15" s="1"/>
  <c r="V131" i="15" s="1"/>
  <c r="I131" i="15"/>
  <c r="J131" i="15"/>
  <c r="K131" i="15"/>
  <c r="L131" i="15"/>
  <c r="C132" i="15"/>
  <c r="D132" i="15"/>
  <c r="O132" i="15" s="1"/>
  <c r="T132" i="15" s="1"/>
  <c r="E132" i="15"/>
  <c r="F132" i="15"/>
  <c r="P132" i="15" s="1"/>
  <c r="U132" i="15" s="1"/>
  <c r="G132" i="15"/>
  <c r="H132" i="15"/>
  <c r="Q132" i="15" s="1"/>
  <c r="V132" i="15" s="1"/>
  <c r="I132" i="15"/>
  <c r="J132" i="15"/>
  <c r="R132" i="15" s="1"/>
  <c r="W132" i="15" s="1"/>
  <c r="K132" i="15"/>
  <c r="L132" i="15"/>
  <c r="S132" i="15" s="1"/>
  <c r="X132" i="15" s="1"/>
  <c r="C133" i="15"/>
  <c r="C134" i="15" s="1"/>
  <c r="D133" i="15"/>
  <c r="D134" i="15" s="1"/>
  <c r="E133" i="15"/>
  <c r="E134" i="15" s="1"/>
  <c r="F133" i="15"/>
  <c r="F134" i="15" s="1"/>
  <c r="G133" i="15"/>
  <c r="G134" i="15" s="1"/>
  <c r="H133" i="15"/>
  <c r="Q133" i="15" s="1"/>
  <c r="V133" i="15" s="1"/>
  <c r="I133" i="15"/>
  <c r="I134" i="15" s="1"/>
  <c r="J133" i="15"/>
  <c r="R133" i="15" s="1"/>
  <c r="W133" i="15" s="1"/>
  <c r="K133" i="15"/>
  <c r="K134" i="15" s="1"/>
  <c r="L133" i="15"/>
  <c r="C135" i="15"/>
  <c r="D135" i="15"/>
  <c r="O135" i="15" s="1"/>
  <c r="T135" i="15" s="1"/>
  <c r="E135" i="15"/>
  <c r="F135" i="15"/>
  <c r="P135" i="15" s="1"/>
  <c r="U135" i="15" s="1"/>
  <c r="G135" i="15"/>
  <c r="H135" i="15"/>
  <c r="Q135" i="15" s="1"/>
  <c r="V135" i="15" s="1"/>
  <c r="I135" i="15"/>
  <c r="J135" i="15"/>
  <c r="R135" i="15" s="1"/>
  <c r="W135" i="15" s="1"/>
  <c r="K135" i="15"/>
  <c r="L135" i="15"/>
  <c r="S135" i="15" s="1"/>
  <c r="X135" i="15" s="1"/>
  <c r="C136" i="15"/>
  <c r="D136" i="15"/>
  <c r="O136" i="15" s="1"/>
  <c r="T136" i="15" s="1"/>
  <c r="E136" i="15"/>
  <c r="F136" i="15"/>
  <c r="P136" i="15" s="1"/>
  <c r="U136" i="15" s="1"/>
  <c r="G136" i="15"/>
  <c r="H136" i="15"/>
  <c r="Q136" i="15" s="1"/>
  <c r="V136" i="15" s="1"/>
  <c r="I136" i="15"/>
  <c r="J136" i="15"/>
  <c r="R136" i="15" s="1"/>
  <c r="W136" i="15" s="1"/>
  <c r="K136" i="15"/>
  <c r="L136" i="15"/>
  <c r="S136" i="15" s="1"/>
  <c r="X136" i="15" s="1"/>
  <c r="C137" i="15"/>
  <c r="C139" i="15" s="1"/>
  <c r="D137" i="15"/>
  <c r="D139" i="15" s="1"/>
  <c r="E137" i="15"/>
  <c r="E139" i="15" s="1"/>
  <c r="F137" i="15"/>
  <c r="G137" i="15"/>
  <c r="G139" i="15" s="1"/>
  <c r="H137" i="15"/>
  <c r="H139" i="15" s="1"/>
  <c r="I137" i="15"/>
  <c r="I139" i="15" s="1"/>
  <c r="J137" i="15"/>
  <c r="K137" i="15"/>
  <c r="K139" i="15" s="1"/>
  <c r="L137" i="15"/>
  <c r="L139" i="15" s="1"/>
  <c r="C138" i="15"/>
  <c r="D138" i="15"/>
  <c r="O138" i="15" s="1"/>
  <c r="T138" i="15" s="1"/>
  <c r="E138" i="15"/>
  <c r="F138" i="15"/>
  <c r="P138" i="15" s="1"/>
  <c r="U138" i="15" s="1"/>
  <c r="G138" i="15"/>
  <c r="H138" i="15"/>
  <c r="Q138" i="15" s="1"/>
  <c r="V138" i="15" s="1"/>
  <c r="I138" i="15"/>
  <c r="J138" i="15"/>
  <c r="R138" i="15" s="1"/>
  <c r="W138" i="15" s="1"/>
  <c r="K138" i="15"/>
  <c r="L138" i="15"/>
  <c r="S138" i="15" s="1"/>
  <c r="X138" i="15" s="1"/>
  <c r="C140" i="15"/>
  <c r="D140" i="15"/>
  <c r="E140" i="15"/>
  <c r="F140" i="15"/>
  <c r="P140" i="15" s="1"/>
  <c r="U140" i="15" s="1"/>
  <c r="G140" i="15"/>
  <c r="H140" i="15"/>
  <c r="Q140" i="15" s="1"/>
  <c r="V140" i="15" s="1"/>
  <c r="I140" i="15"/>
  <c r="J140" i="15"/>
  <c r="K140" i="15"/>
  <c r="L140" i="15"/>
  <c r="C141" i="15"/>
  <c r="F141" i="15"/>
  <c r="P141" i="15" s="1"/>
  <c r="U141" i="15" s="1"/>
  <c r="I141" i="15"/>
  <c r="D142" i="15"/>
  <c r="O142" i="15" s="1"/>
  <c r="T142" i="15" s="1"/>
  <c r="E142" i="15"/>
  <c r="F142" i="15"/>
  <c r="P142" i="15" s="1"/>
  <c r="U142" i="15" s="1"/>
  <c r="G142" i="15"/>
  <c r="H142" i="15"/>
  <c r="Q142" i="15" s="1"/>
  <c r="V142" i="15" s="1"/>
  <c r="I142" i="15"/>
  <c r="J142" i="15"/>
  <c r="R142" i="15" s="1"/>
  <c r="W142" i="15" s="1"/>
  <c r="K142" i="15"/>
  <c r="L142" i="15"/>
  <c r="S142" i="15" s="1"/>
  <c r="X142" i="15" s="1"/>
  <c r="C143" i="15"/>
  <c r="D143" i="15"/>
  <c r="E143" i="15"/>
  <c r="F143" i="15"/>
  <c r="P143" i="15" s="1"/>
  <c r="U143" i="15" s="1"/>
  <c r="G143" i="15"/>
  <c r="H143" i="15"/>
  <c r="Q143" i="15" s="1"/>
  <c r="V143" i="15" s="1"/>
  <c r="I143" i="15"/>
  <c r="J143" i="15"/>
  <c r="K143" i="15"/>
  <c r="L143" i="15"/>
  <c r="S143" i="15" s="1"/>
  <c r="X143" i="15" s="1"/>
  <c r="C144" i="15"/>
  <c r="D144" i="15"/>
  <c r="O144" i="15" s="1"/>
  <c r="T144" i="15" s="1"/>
  <c r="E144" i="15"/>
  <c r="F144" i="15"/>
  <c r="P144" i="15" s="1"/>
  <c r="U144" i="15" s="1"/>
  <c r="G144" i="15"/>
  <c r="H144" i="15"/>
  <c r="Q144" i="15" s="1"/>
  <c r="V144" i="15" s="1"/>
  <c r="I144" i="15"/>
  <c r="J144" i="15"/>
  <c r="K144" i="15"/>
  <c r="L144" i="15"/>
  <c r="C145" i="15"/>
  <c r="D145" i="15"/>
  <c r="O145" i="15" s="1"/>
  <c r="T145" i="15" s="1"/>
  <c r="E145" i="15"/>
  <c r="F145" i="15"/>
  <c r="P145" i="15" s="1"/>
  <c r="U145" i="15" s="1"/>
  <c r="G145" i="15"/>
  <c r="H145" i="15"/>
  <c r="Q145" i="15" s="1"/>
  <c r="V145" i="15" s="1"/>
  <c r="I145" i="15"/>
  <c r="J145" i="15"/>
  <c r="R145" i="15" s="1"/>
  <c r="W145" i="15" s="1"/>
  <c r="K145" i="15"/>
  <c r="L145" i="15"/>
  <c r="S145" i="15" s="1"/>
  <c r="X145" i="15" s="1"/>
  <c r="C146" i="15"/>
  <c r="D146" i="15"/>
  <c r="O146" i="15" s="1"/>
  <c r="T146" i="15" s="1"/>
  <c r="E146" i="15"/>
  <c r="F146" i="15"/>
  <c r="P146" i="15" s="1"/>
  <c r="U146" i="15" s="1"/>
  <c r="G146" i="15"/>
  <c r="H146" i="15"/>
  <c r="Q146" i="15" s="1"/>
  <c r="V146" i="15" s="1"/>
  <c r="I146" i="15"/>
  <c r="J146" i="15"/>
  <c r="R146" i="15" s="1"/>
  <c r="W146" i="15" s="1"/>
  <c r="K146" i="15"/>
  <c r="L146" i="15"/>
  <c r="C147" i="15"/>
  <c r="D147" i="15"/>
  <c r="O147" i="15" s="1"/>
  <c r="T147" i="15" s="1"/>
  <c r="E147" i="15"/>
  <c r="F147" i="15"/>
  <c r="G147" i="15"/>
  <c r="H147" i="15"/>
  <c r="Q147" i="15" s="1"/>
  <c r="V147" i="15" s="1"/>
  <c r="I147" i="15"/>
  <c r="J147" i="15"/>
  <c r="K147" i="15"/>
  <c r="L147" i="15"/>
  <c r="C148" i="15"/>
  <c r="D148" i="15"/>
  <c r="O148" i="15" s="1"/>
  <c r="T148" i="15" s="1"/>
  <c r="E148" i="15"/>
  <c r="F148" i="15"/>
  <c r="P148" i="15" s="1"/>
  <c r="U148" i="15" s="1"/>
  <c r="G148" i="15"/>
  <c r="H148" i="15"/>
  <c r="Q148" i="15" s="1"/>
  <c r="V148" i="15" s="1"/>
  <c r="I148" i="15"/>
  <c r="J148" i="15"/>
  <c r="R148" i="15" s="1"/>
  <c r="W148" i="15" s="1"/>
  <c r="K148" i="15"/>
  <c r="L148" i="15"/>
  <c r="S148" i="15" s="1"/>
  <c r="X148" i="15" s="1"/>
  <c r="C149" i="15"/>
  <c r="D149" i="15"/>
  <c r="O149" i="15" s="1"/>
  <c r="T149" i="15" s="1"/>
  <c r="E149" i="15"/>
  <c r="F149" i="15"/>
  <c r="P149" i="15" s="1"/>
  <c r="U149" i="15" s="1"/>
  <c r="G149" i="15"/>
  <c r="H149" i="15"/>
  <c r="Q149" i="15" s="1"/>
  <c r="V149" i="15" s="1"/>
  <c r="I149" i="15"/>
  <c r="J149" i="15"/>
  <c r="R149" i="15" s="1"/>
  <c r="W149" i="15" s="1"/>
  <c r="K149" i="15"/>
  <c r="L149" i="15"/>
  <c r="S149" i="15" s="1"/>
  <c r="X149" i="15" s="1"/>
  <c r="C150" i="15"/>
  <c r="D150" i="15"/>
  <c r="O150" i="15" s="1"/>
  <c r="T150" i="15" s="1"/>
  <c r="E150" i="15"/>
  <c r="F150" i="15"/>
  <c r="P150" i="15" s="1"/>
  <c r="U150" i="15" s="1"/>
  <c r="G150" i="15"/>
  <c r="H150" i="15"/>
  <c r="Q150" i="15" s="1"/>
  <c r="V150" i="15" s="1"/>
  <c r="I150" i="15"/>
  <c r="J150" i="15"/>
  <c r="R150" i="15" s="1"/>
  <c r="W150" i="15" s="1"/>
  <c r="K150" i="15"/>
  <c r="L150" i="15"/>
  <c r="S150" i="15" s="1"/>
  <c r="X150" i="15" s="1"/>
  <c r="C151" i="15"/>
  <c r="D151" i="15"/>
  <c r="O151" i="15" s="1"/>
  <c r="T151" i="15" s="1"/>
  <c r="E151" i="15"/>
  <c r="F151" i="15"/>
  <c r="G151" i="15"/>
  <c r="H151" i="15"/>
  <c r="Q151" i="15" s="1"/>
  <c r="V151" i="15" s="1"/>
  <c r="I151" i="15"/>
  <c r="J151" i="15"/>
  <c r="K151" i="15"/>
  <c r="L151" i="15"/>
  <c r="C152" i="15"/>
  <c r="D152" i="15"/>
  <c r="O152" i="15" s="1"/>
  <c r="T152" i="15" s="1"/>
  <c r="E152" i="15"/>
  <c r="F152" i="15"/>
  <c r="G152" i="15"/>
  <c r="H152" i="15"/>
  <c r="Q152" i="15" s="1"/>
  <c r="V152" i="15" s="1"/>
  <c r="I152" i="15"/>
  <c r="J152" i="15"/>
  <c r="K152" i="15"/>
  <c r="L152" i="15"/>
  <c r="S152" i="15" s="1"/>
  <c r="X152" i="15" s="1"/>
  <c r="F18" i="9"/>
  <c r="I18" i="9" s="1"/>
  <c r="P47" i="9"/>
  <c r="J100" i="15"/>
  <c r="J42" i="15"/>
  <c r="R42" i="15" s="1"/>
  <c r="W42" i="15" s="1"/>
  <c r="F49" i="9"/>
  <c r="Q40" i="15"/>
  <c r="V40" i="15" s="1"/>
  <c r="D99" i="15"/>
  <c r="P5" i="9"/>
  <c r="M4" i="7"/>
  <c r="P17" i="9"/>
  <c r="J17" i="9"/>
  <c r="P49" i="9"/>
  <c r="F47" i="9"/>
  <c r="O140" i="15"/>
  <c r="T140" i="15" s="1"/>
  <c r="G16" i="7"/>
  <c r="H44" i="9"/>
  <c r="H101" i="15"/>
  <c r="H107" i="15" s="1"/>
  <c r="S114" i="15"/>
  <c r="X114" i="15" s="1"/>
  <c r="H36" i="13"/>
  <c r="S36" i="13" s="1"/>
  <c r="X36" i="13" s="1"/>
  <c r="J101" i="15"/>
  <c r="J107" i="15" s="1"/>
  <c r="F36" i="13"/>
  <c r="R36" i="13" s="1"/>
  <c r="W36" i="13" s="1"/>
  <c r="H63" i="13"/>
  <c r="S63" i="13" s="1"/>
  <c r="X63" i="13" s="1"/>
  <c r="J48" i="9"/>
  <c r="D67" i="13"/>
  <c r="Q67" i="13" s="1"/>
  <c r="V67" i="13" s="1"/>
  <c r="F99" i="15"/>
  <c r="F105" i="15" s="1"/>
  <c r="I6" i="9"/>
  <c r="Q53" i="15"/>
  <c r="V53" i="15" s="1"/>
  <c r="S35" i="15"/>
  <c r="X35" i="15" s="1"/>
  <c r="H40" i="9"/>
  <c r="D49" i="15"/>
  <c r="H20" i="15"/>
  <c r="I34" i="9"/>
  <c r="H82" i="15"/>
  <c r="H70" i="13"/>
  <c r="S70" i="13" s="1"/>
  <c r="X70" i="13" s="1"/>
  <c r="R53" i="15"/>
  <c r="W53" i="15" s="1"/>
  <c r="H94" i="15"/>
  <c r="H98" i="15" s="1"/>
  <c r="D73" i="15"/>
  <c r="O73" i="15" s="1"/>
  <c r="T73" i="15" s="1"/>
  <c r="G59" i="9"/>
  <c r="Q127" i="15"/>
  <c r="V127" i="15" s="1"/>
  <c r="P7" i="9"/>
  <c r="H59" i="9"/>
  <c r="S5" i="15"/>
  <c r="X5" i="15" s="1"/>
  <c r="L94" i="15"/>
  <c r="H7" i="9"/>
  <c r="Q114" i="15"/>
  <c r="V114" i="15" s="1"/>
  <c r="P8" i="9"/>
  <c r="R55" i="15"/>
  <c r="W55" i="15" s="1"/>
  <c r="R147" i="15"/>
  <c r="W147" i="15" s="1"/>
  <c r="F6" i="15"/>
  <c r="F94" i="15"/>
  <c r="P94" i="15" s="1"/>
  <c r="U94" i="15" s="1"/>
  <c r="L82" i="13"/>
  <c r="U82" i="13" s="1"/>
  <c r="Z82" i="13" s="1"/>
  <c r="L100" i="15"/>
  <c r="S100" i="15" s="1"/>
  <c r="X100" i="15" s="1"/>
  <c r="G5" i="9"/>
  <c r="P28" i="9"/>
  <c r="K28" i="9"/>
  <c r="S123" i="15"/>
  <c r="X123" i="15" s="1"/>
  <c r="P58" i="9"/>
  <c r="D6" i="15"/>
  <c r="K5" i="9"/>
  <c r="K29" i="9"/>
  <c r="P45" i="9"/>
  <c r="F80" i="15"/>
  <c r="P80" i="15" s="1"/>
  <c r="U80" i="15" s="1"/>
  <c r="S54" i="15"/>
  <c r="X54" i="15" s="1"/>
  <c r="L73" i="15"/>
  <c r="L77" i="15" s="1"/>
  <c r="L99" i="15"/>
  <c r="H78" i="15"/>
  <c r="L24" i="15"/>
  <c r="I59" i="9"/>
  <c r="G18" i="9"/>
  <c r="H99" i="15"/>
  <c r="Q99" i="15" s="1"/>
  <c r="V99" i="15" s="1"/>
  <c r="L5" i="9"/>
  <c r="F45" i="9"/>
  <c r="H79" i="15"/>
  <c r="Q79" i="15" s="1"/>
  <c r="V79" i="15" s="1"/>
  <c r="J19" i="9"/>
  <c r="G34" i="9"/>
  <c r="Q9" i="15"/>
  <c r="V9" i="15" s="1"/>
  <c r="J73" i="15"/>
  <c r="J63" i="13"/>
  <c r="T63" i="13" s="1"/>
  <c r="Y63" i="13" s="1"/>
  <c r="O50" i="15"/>
  <c r="T50" i="15" s="1"/>
  <c r="F73" i="15"/>
  <c r="F77" i="15" s="1"/>
  <c r="P151" i="15"/>
  <c r="U151" i="15" s="1"/>
  <c r="R11" i="15"/>
  <c r="W11" i="15" s="1"/>
  <c r="D36" i="13"/>
  <c r="Q36" i="13" s="1"/>
  <c r="V36" i="13" s="1"/>
  <c r="D42" i="15"/>
  <c r="G36" i="9"/>
  <c r="P36" i="9"/>
  <c r="O55" i="15"/>
  <c r="T55" i="15" s="1"/>
  <c r="R127" i="15"/>
  <c r="W127" i="15" s="1"/>
  <c r="Q141" i="15"/>
  <c r="V141" i="15" s="1"/>
  <c r="P8" i="15"/>
  <c r="U8" i="15" s="1"/>
  <c r="J67" i="13"/>
  <c r="T67" i="13" s="1"/>
  <c r="Y67" i="13" s="1"/>
  <c r="J79" i="15"/>
  <c r="J86" i="15" s="1"/>
  <c r="P54" i="15"/>
  <c r="U54" i="15" s="1"/>
  <c r="D77" i="13"/>
  <c r="Q77" i="13" s="1"/>
  <c r="V77" i="13" s="1"/>
  <c r="D94" i="15"/>
  <c r="D98" i="15" s="1"/>
  <c r="L79" i="15"/>
  <c r="L86" i="15" s="1"/>
  <c r="F79" i="15"/>
  <c r="P79" i="15" s="1"/>
  <c r="U79" i="15" s="1"/>
  <c r="G48" i="9"/>
  <c r="F26" i="9"/>
  <c r="I26" i="9" s="1"/>
  <c r="S11" i="15"/>
  <c r="X11" i="15" s="1"/>
  <c r="J80" i="15"/>
  <c r="R80" i="15" s="1"/>
  <c r="W80" i="15" s="1"/>
  <c r="J68" i="13"/>
  <c r="T68" i="13" s="1"/>
  <c r="Y68" i="13" s="1"/>
  <c r="K46" i="9"/>
  <c r="P30" i="9"/>
  <c r="F101" i="15"/>
  <c r="F107" i="15" s="1"/>
  <c r="F83" i="13"/>
  <c r="L70" i="13"/>
  <c r="U70" i="13" s="1"/>
  <c r="Z70" i="13" s="1"/>
  <c r="L82" i="15"/>
  <c r="S82" i="15" s="1"/>
  <c r="X82" i="15" s="1"/>
  <c r="D80" i="15"/>
  <c r="O80" i="15" s="1"/>
  <c r="T80" i="15" s="1"/>
  <c r="J28" i="9"/>
  <c r="M9" i="9"/>
  <c r="L9" i="9"/>
  <c r="H80" i="15"/>
  <c r="K48" i="9"/>
  <c r="P51" i="15"/>
  <c r="U51" i="15" s="1"/>
  <c r="K30" i="9"/>
  <c r="AG48" i="26"/>
  <c r="AL48" i="26" s="1"/>
  <c r="AG58" i="26"/>
  <c r="AL58" i="26" s="1"/>
  <c r="AG10" i="26"/>
  <c r="AH10" i="26" s="1"/>
  <c r="AG17" i="26"/>
  <c r="AG13" i="26"/>
  <c r="AG11" i="26"/>
  <c r="AI11" i="26" s="1"/>
  <c r="R141" i="15"/>
  <c r="W141" i="15" s="1"/>
  <c r="AG9" i="26"/>
  <c r="AI9" i="26" s="1"/>
  <c r="AI52" i="26"/>
  <c r="AH52" i="26"/>
  <c r="AJ50" i="26"/>
  <c r="G35" i="9"/>
  <c r="AI56" i="26"/>
  <c r="AH56" i="26"/>
  <c r="AJ53" i="26"/>
  <c r="AH51" i="26"/>
  <c r="P18" i="15"/>
  <c r="U18" i="15" s="1"/>
  <c r="K44" i="9"/>
  <c r="M6" i="7"/>
  <c r="G30" i="9"/>
  <c r="M5" i="9"/>
  <c r="AM56" i="26"/>
  <c r="AM52" i="26"/>
  <c r="AN56" i="26"/>
  <c r="AO56" i="26" s="1"/>
  <c r="AQ56" i="26" s="1"/>
  <c r="AN52" i="26"/>
  <c r="AO52" i="26" s="1"/>
  <c r="AM51" i="26"/>
  <c r="AK50" i="26"/>
  <c r="AK16" i="26"/>
  <c r="G31" i="26" s="1"/>
  <c r="AH19" i="26"/>
  <c r="AJ16" i="26"/>
  <c r="AK19" i="26"/>
  <c r="G34" i="26" s="1"/>
  <c r="AJ14" i="26"/>
  <c r="AI14" i="26"/>
  <c r="AH14" i="26"/>
  <c r="AI16" i="26"/>
  <c r="AJ19" i="26"/>
  <c r="AI19" i="26"/>
  <c r="AH16" i="26"/>
  <c r="AK14" i="26"/>
  <c r="G29" i="26" s="1"/>
  <c r="AL53" i="26"/>
  <c r="AN55" i="26"/>
  <c r="AO55" i="26" s="1"/>
  <c r="AI51" i="26"/>
  <c r="AI55" i="26"/>
  <c r="AJ55" i="26"/>
  <c r="AJ13" i="26"/>
  <c r="AK52" i="26"/>
  <c r="AK56" i="26"/>
  <c r="AM57" i="26"/>
  <c r="AM50" i="26"/>
  <c r="AJ56" i="26"/>
  <c r="AJ57" i="26"/>
  <c r="AH50" i="26"/>
  <c r="AI50" i="26"/>
  <c r="AJ52" i="26"/>
  <c r="AG45" i="26"/>
  <c r="AL45" i="26" s="1"/>
  <c r="AG44" i="26"/>
  <c r="H86" i="15"/>
  <c r="U80" i="31"/>
  <c r="E15" i="26"/>
  <c r="AG6" i="26"/>
  <c r="AI6" i="26" s="1"/>
  <c r="AG8" i="26"/>
  <c r="AI8" i="26" s="1"/>
  <c r="AG7" i="26"/>
  <c r="AJ7" i="26" s="1"/>
  <c r="AM2" i="26"/>
  <c r="E50" i="31" s="1"/>
  <c r="AL55" i="26"/>
  <c r="AM55" i="26"/>
  <c r="AH55" i="26"/>
  <c r="AG2" i="23"/>
  <c r="Z3" i="26" l="1"/>
  <c r="L38" i="26" s="1"/>
  <c r="K14" i="31"/>
  <c r="AH18" i="26"/>
  <c r="AH11" i="26"/>
  <c r="AK13" i="26"/>
  <c r="AL13" i="26" s="1"/>
  <c r="H28" i="26" s="1"/>
  <c r="L26" i="31" s="1"/>
  <c r="G46" i="9"/>
  <c r="O23" i="15"/>
  <c r="T23" i="15" s="1"/>
  <c r="K34" i="9"/>
  <c r="M7" i="9"/>
  <c r="P35" i="9"/>
  <c r="AI17" i="26"/>
  <c r="F46" i="9"/>
  <c r="F48" i="9"/>
  <c r="I48" i="9" s="1"/>
  <c r="I42" i="9"/>
  <c r="I5" i="9"/>
  <c r="Q92" i="15"/>
  <c r="V92" i="15" s="1"/>
  <c r="K18" i="9"/>
  <c r="R125" i="15"/>
  <c r="W125" i="15" s="1"/>
  <c r="P44" i="9"/>
  <c r="K36" i="9"/>
  <c r="O36" i="9" s="1"/>
  <c r="Q36" i="9" s="1"/>
  <c r="R36" i="9" s="1"/>
  <c r="S36" i="9" s="1"/>
  <c r="AJ11" i="26"/>
  <c r="J18" i="9"/>
  <c r="G40" i="9"/>
  <c r="J78" i="15"/>
  <c r="G42" i="9"/>
  <c r="O42" i="9" s="1"/>
  <c r="K7" i="9"/>
  <c r="AH9" i="26"/>
  <c r="AK11" i="26"/>
  <c r="G26" i="26" s="1"/>
  <c r="AJ10" i="26"/>
  <c r="R70" i="15"/>
  <c r="W70" i="15" s="1"/>
  <c r="J83" i="13"/>
  <c r="M11" i="7"/>
  <c r="O11" i="7" s="1"/>
  <c r="P11" i="7" s="1"/>
  <c r="M9" i="7"/>
  <c r="O9" i="7" s="1"/>
  <c r="P9" i="7" s="1"/>
  <c r="M8" i="7"/>
  <c r="O8" i="7" s="1"/>
  <c r="P8" i="7" s="1"/>
  <c r="G23" i="9"/>
  <c r="M27" i="7"/>
  <c r="M20" i="7"/>
  <c r="O20" i="7" s="1"/>
  <c r="P20" i="7" s="1"/>
  <c r="M16" i="7"/>
  <c r="O16" i="7" s="1"/>
  <c r="P16" i="7" s="1"/>
  <c r="H89" i="15"/>
  <c r="D67" i="15"/>
  <c r="G26" i="9"/>
  <c r="AK10" i="26"/>
  <c r="AL10" i="26" s="1"/>
  <c r="H25" i="26" s="1"/>
  <c r="L23" i="31" s="1"/>
  <c r="AI22" i="31" s="1"/>
  <c r="Q37" i="15"/>
  <c r="V37" i="15" s="1"/>
  <c r="AH13" i="26"/>
  <c r="P31" i="9"/>
  <c r="F25" i="9"/>
  <c r="I25" i="9" s="1"/>
  <c r="G45" i="9"/>
  <c r="G49" i="9"/>
  <c r="S66" i="15"/>
  <c r="X66" i="15" s="1"/>
  <c r="M22" i="7"/>
  <c r="O22" i="7" s="1"/>
  <c r="P22" i="7" s="1"/>
  <c r="I17" i="9"/>
  <c r="L63" i="13"/>
  <c r="U63" i="13" s="1"/>
  <c r="Z63" i="13" s="1"/>
  <c r="M24" i="7"/>
  <c r="O24" i="7" s="1"/>
  <c r="P24" i="7" s="1"/>
  <c r="M14" i="7"/>
  <c r="O14" i="7" s="1"/>
  <c r="P14" i="7" s="1"/>
  <c r="M13" i="7"/>
  <c r="O13" i="7" s="1"/>
  <c r="P13" i="7" s="1"/>
  <c r="J31" i="9"/>
  <c r="AJ18" i="26"/>
  <c r="K31" i="9"/>
  <c r="J15" i="9"/>
  <c r="J77" i="13"/>
  <c r="T77" i="13" s="1"/>
  <c r="Y77" i="13" s="1"/>
  <c r="P27" i="9"/>
  <c r="F23" i="9"/>
  <c r="I49" i="9"/>
  <c r="AI13" i="26"/>
  <c r="O18" i="7"/>
  <c r="P18" i="7" s="1"/>
  <c r="P23" i="9"/>
  <c r="I58" i="9"/>
  <c r="J27" i="9"/>
  <c r="J58" i="9"/>
  <c r="I56" i="9"/>
  <c r="H67" i="13"/>
  <c r="S67" i="13" s="1"/>
  <c r="X67" i="13" s="1"/>
  <c r="M2" i="7"/>
  <c r="O2" i="7" s="1"/>
  <c r="P2" i="7" s="1"/>
  <c r="O50" i="9"/>
  <c r="Q50" i="9" s="1"/>
  <c r="I46" i="9"/>
  <c r="O22" i="9"/>
  <c r="Q22" i="9" s="1"/>
  <c r="O20" i="9"/>
  <c r="Q20" i="9" s="1"/>
  <c r="O6" i="7"/>
  <c r="P6" i="7" s="1"/>
  <c r="H56" i="9"/>
  <c r="F63" i="13"/>
  <c r="R63" i="13" s="1"/>
  <c r="W63" i="13" s="1"/>
  <c r="P42" i="15"/>
  <c r="U42" i="15" s="1"/>
  <c r="M5" i="7"/>
  <c r="O5" i="7" s="1"/>
  <c r="P5" i="7" s="1"/>
  <c r="AI18" i="26"/>
  <c r="AK48" i="26"/>
  <c r="AN48" i="26" s="1"/>
  <c r="AO48" i="26" s="1"/>
  <c r="AP48" i="26" s="1"/>
  <c r="AM48" i="26"/>
  <c r="AK18" i="26"/>
  <c r="G33" i="26" s="1"/>
  <c r="AI48" i="26"/>
  <c r="AJ46" i="26"/>
  <c r="AH48" i="26"/>
  <c r="AJ48" i="26"/>
  <c r="AJ51" i="26"/>
  <c r="K33" i="9"/>
  <c r="P33" i="9"/>
  <c r="AL47" i="26"/>
  <c r="AJ47" i="26"/>
  <c r="AH47" i="26"/>
  <c r="AM49" i="26"/>
  <c r="AI49" i="26"/>
  <c r="AH49" i="26"/>
  <c r="AJ49" i="26"/>
  <c r="AL49" i="26"/>
  <c r="F81" i="13"/>
  <c r="R81" i="13" s="1"/>
  <c r="W81" i="13" s="1"/>
  <c r="F81" i="35"/>
  <c r="F77" i="13"/>
  <c r="R77" i="13" s="1"/>
  <c r="W77" i="13" s="1"/>
  <c r="F77" i="35"/>
  <c r="G17" i="9"/>
  <c r="L46" i="15"/>
  <c r="F15" i="9"/>
  <c r="I15" i="9" s="1"/>
  <c r="H43" i="9"/>
  <c r="P26" i="9"/>
  <c r="F67" i="13"/>
  <c r="R67" i="13" s="1"/>
  <c r="W67" i="13" s="1"/>
  <c r="G19" i="9"/>
  <c r="D78" i="15"/>
  <c r="I45" i="9"/>
  <c r="K47" i="9"/>
  <c r="F30" i="9"/>
  <c r="I30" i="9" s="1"/>
  <c r="O30" i="9" s="1"/>
  <c r="Q30" i="9" s="1"/>
  <c r="R30" i="9" s="1"/>
  <c r="S30" i="9" s="1"/>
  <c r="J26" i="9"/>
  <c r="D63" i="13"/>
  <c r="Q63" i="13" s="1"/>
  <c r="V63" i="13" s="1"/>
  <c r="O37" i="15"/>
  <c r="T37" i="15" s="1"/>
  <c r="K32" i="9"/>
  <c r="K6" i="9"/>
  <c r="P6" i="9"/>
  <c r="I47" i="9"/>
  <c r="O40" i="15"/>
  <c r="T40" i="15" s="1"/>
  <c r="F13" i="15"/>
  <c r="K35" i="9"/>
  <c r="O35" i="9" s="1"/>
  <c r="Q35" i="9" s="1"/>
  <c r="R35" i="9" s="1"/>
  <c r="S35" i="9" s="1"/>
  <c r="D101" i="15"/>
  <c r="D107" i="15" s="1"/>
  <c r="D83" i="35"/>
  <c r="D100" i="15"/>
  <c r="O100" i="15" s="1"/>
  <c r="T100" i="15" s="1"/>
  <c r="D82" i="35"/>
  <c r="D81" i="13"/>
  <c r="Q81" i="13" s="1"/>
  <c r="V81" i="13" s="1"/>
  <c r="D81" i="35"/>
  <c r="L80" i="15"/>
  <c r="L87" i="15" s="1"/>
  <c r="L68" i="35"/>
  <c r="M23" i="7"/>
  <c r="O23" i="7" s="1"/>
  <c r="P23" i="7" s="1"/>
  <c r="M19" i="7"/>
  <c r="O19" i="7" s="1"/>
  <c r="P19" i="7" s="1"/>
  <c r="AI44" i="26"/>
  <c r="AH44" i="26"/>
  <c r="S73" i="15"/>
  <c r="X73" i="15" s="1"/>
  <c r="G15" i="9"/>
  <c r="D68" i="13"/>
  <c r="Q68" i="13" s="1"/>
  <c r="V68" i="13" s="1"/>
  <c r="J46" i="9"/>
  <c r="J32" i="9"/>
  <c r="H117" i="15"/>
  <c r="J59" i="9"/>
  <c r="G47" i="9"/>
  <c r="F32" i="9"/>
  <c r="I32" i="9" s="1"/>
  <c r="L81" i="13"/>
  <c r="U81" i="13" s="1"/>
  <c r="Z81" i="13" s="1"/>
  <c r="L81" i="35"/>
  <c r="L77" i="13"/>
  <c r="U77" i="13" s="1"/>
  <c r="Z77" i="13" s="1"/>
  <c r="L77" i="35"/>
  <c r="J82" i="15"/>
  <c r="J88" i="15" s="1"/>
  <c r="J70" i="35"/>
  <c r="M28" i="7"/>
  <c r="O28" i="7" s="1"/>
  <c r="P28" i="7" s="1"/>
  <c r="M25" i="7"/>
  <c r="O25" i="7" s="1"/>
  <c r="P25" i="7" s="1"/>
  <c r="AJ6" i="26"/>
  <c r="AI10" i="26"/>
  <c r="K26" i="9"/>
  <c r="H13" i="15"/>
  <c r="G28" i="9"/>
  <c r="O28" i="9" s="1"/>
  <c r="Q28" i="9" s="1"/>
  <c r="R28" i="9" s="1"/>
  <c r="S28" i="9" s="1"/>
  <c r="O110" i="15"/>
  <c r="T110" i="15" s="1"/>
  <c r="L67" i="13"/>
  <c r="U67" i="13" s="1"/>
  <c r="Z67" i="13" s="1"/>
  <c r="G37" i="9"/>
  <c r="L59" i="9"/>
  <c r="O18" i="15"/>
  <c r="T18" i="15" s="1"/>
  <c r="K59" i="9"/>
  <c r="K15" i="9"/>
  <c r="J6" i="15"/>
  <c r="R23" i="15"/>
  <c r="W23" i="15" s="1"/>
  <c r="I8" i="9"/>
  <c r="O4" i="7"/>
  <c r="P4" i="7" s="1"/>
  <c r="F82" i="13"/>
  <c r="R82" i="13" s="1"/>
  <c r="W82" i="13" s="1"/>
  <c r="L101" i="15"/>
  <c r="L107" i="15" s="1"/>
  <c r="L83" i="35"/>
  <c r="J82" i="13"/>
  <c r="T82" i="13" s="1"/>
  <c r="Y82" i="13" s="1"/>
  <c r="J82" i="35"/>
  <c r="J99" i="15"/>
  <c r="J105" i="15" s="1"/>
  <c r="J108" i="15" s="1"/>
  <c r="J81" i="35"/>
  <c r="H68" i="13"/>
  <c r="S68" i="13" s="1"/>
  <c r="X68" i="13" s="1"/>
  <c r="H68" i="35"/>
  <c r="H73" i="15"/>
  <c r="H77" i="15" s="1"/>
  <c r="H63" i="35"/>
  <c r="O27" i="7"/>
  <c r="P27" i="7" s="1"/>
  <c r="K17" i="9"/>
  <c r="O17" i="9" s="1"/>
  <c r="Q17" i="9" s="1"/>
  <c r="R17" i="9" s="1"/>
  <c r="S17" i="9" s="1"/>
  <c r="O14" i="9"/>
  <c r="Q14" i="9" s="1"/>
  <c r="O13" i="9"/>
  <c r="Q13" i="9" s="1"/>
  <c r="AM5" i="26"/>
  <c r="E53" i="31" s="1"/>
  <c r="J134" i="15"/>
  <c r="F19" i="9"/>
  <c r="I19" i="9" s="1"/>
  <c r="O19" i="9" s="1"/>
  <c r="Q19" i="9" s="1"/>
  <c r="R19" i="9" s="1"/>
  <c r="S19" i="9" s="1"/>
  <c r="L126" i="15"/>
  <c r="H77" i="13"/>
  <c r="S77" i="13" s="1"/>
  <c r="X77" i="13" s="1"/>
  <c r="F126" i="15"/>
  <c r="L8" i="9"/>
  <c r="J130" i="15"/>
  <c r="H82" i="13"/>
  <c r="S82" i="13" s="1"/>
  <c r="X82" i="13" s="1"/>
  <c r="H82" i="35"/>
  <c r="H81" i="13"/>
  <c r="S81" i="13" s="1"/>
  <c r="X81" i="13" s="1"/>
  <c r="F82" i="15"/>
  <c r="F70" i="35"/>
  <c r="F68" i="13"/>
  <c r="R68" i="13" s="1"/>
  <c r="W68" i="13" s="1"/>
  <c r="F68" i="35"/>
  <c r="AI12" i="26"/>
  <c r="H83" i="13"/>
  <c r="H83" i="35"/>
  <c r="D82" i="15"/>
  <c r="D70" i="35"/>
  <c r="D79" i="15"/>
  <c r="D67" i="35"/>
  <c r="M10" i="7"/>
  <c r="O10" i="7" s="1"/>
  <c r="P10" i="7" s="1"/>
  <c r="O39" i="9"/>
  <c r="Q39" i="9" s="1"/>
  <c r="O21" i="9"/>
  <c r="Q21" i="9" s="1"/>
  <c r="O11" i="9"/>
  <c r="Q11" i="9" s="1"/>
  <c r="M8" i="9"/>
  <c r="G6" i="9"/>
  <c r="O3" i="9"/>
  <c r="Q3" i="9" s="1"/>
  <c r="G33" i="9"/>
  <c r="AM3" i="26"/>
  <c r="E51" i="31" s="1"/>
  <c r="AN50" i="26"/>
  <c r="AO50" i="26" s="1"/>
  <c r="AQ50" i="26" s="1"/>
  <c r="AK46" i="26"/>
  <c r="H111" i="15"/>
  <c r="D89" i="15"/>
  <c r="D126" i="15"/>
  <c r="P40" i="15"/>
  <c r="U40" i="15" s="1"/>
  <c r="S116" i="15"/>
  <c r="X116" i="15" s="1"/>
  <c r="O133" i="15"/>
  <c r="T133" i="15" s="1"/>
  <c r="R40" i="15"/>
  <c r="W40" i="15" s="1"/>
  <c r="F117" i="15"/>
  <c r="S110" i="15"/>
  <c r="X110" i="15" s="1"/>
  <c r="L93" i="15"/>
  <c r="H6" i="15"/>
  <c r="R30" i="15"/>
  <c r="W30" i="15" s="1"/>
  <c r="I13" i="15"/>
  <c r="Q129" i="15"/>
  <c r="V129" i="15" s="1"/>
  <c r="S75" i="15"/>
  <c r="X75" i="15" s="1"/>
  <c r="S147" i="15"/>
  <c r="X147" i="15" s="1"/>
  <c r="P110" i="15"/>
  <c r="U110" i="15" s="1"/>
  <c r="S50" i="15"/>
  <c r="X50" i="15" s="1"/>
  <c r="R140" i="15"/>
  <c r="W140" i="15" s="1"/>
  <c r="Q12" i="15"/>
  <c r="V12" i="15" s="1"/>
  <c r="R118" i="15"/>
  <c r="W118" i="15" s="1"/>
  <c r="H24" i="15"/>
  <c r="R62" i="15"/>
  <c r="W62" i="15" s="1"/>
  <c r="F49" i="15"/>
  <c r="J20" i="15"/>
  <c r="J49" i="15"/>
  <c r="F86" i="15"/>
  <c r="P55" i="15"/>
  <c r="U55" i="15" s="1"/>
  <c r="S151" i="15"/>
  <c r="X151" i="15" s="1"/>
  <c r="O137" i="15"/>
  <c r="T137" i="15" s="1"/>
  <c r="O92" i="15"/>
  <c r="T92" i="15" s="1"/>
  <c r="O7" i="15"/>
  <c r="T7" i="15" s="1"/>
  <c r="J13" i="15"/>
  <c r="P61" i="15"/>
  <c r="U61" i="15" s="1"/>
  <c r="D13" i="15"/>
  <c r="Q28" i="15"/>
  <c r="V28" i="15" s="1"/>
  <c r="J117" i="15"/>
  <c r="S129" i="15"/>
  <c r="X129" i="15" s="1"/>
  <c r="S37" i="15"/>
  <c r="X37" i="15" s="1"/>
  <c r="O141" i="15"/>
  <c r="T141" i="15" s="1"/>
  <c r="Q137" i="15"/>
  <c r="V137" i="15" s="1"/>
  <c r="D72" i="15"/>
  <c r="P15" i="15"/>
  <c r="U15" i="15" s="1"/>
  <c r="R114" i="15"/>
  <c r="W114" i="15" s="1"/>
  <c r="O123" i="15"/>
  <c r="T123" i="15" s="1"/>
  <c r="S15" i="15"/>
  <c r="X15" i="15" s="1"/>
  <c r="S137" i="15"/>
  <c r="X137" i="15" s="1"/>
  <c r="R143" i="15"/>
  <c r="W143" i="15" s="1"/>
  <c r="O53" i="15"/>
  <c r="T53" i="15" s="1"/>
  <c r="O53" i="9"/>
  <c r="Q53" i="9" s="1"/>
  <c r="O12" i="9"/>
  <c r="O5" i="9"/>
  <c r="Q5" i="9" s="1"/>
  <c r="R5" i="9" s="1"/>
  <c r="S5" i="9" s="1"/>
  <c r="O34" i="9"/>
  <c r="Q34" i="9" s="1"/>
  <c r="R34" i="9" s="1"/>
  <c r="S34" i="9" s="1"/>
  <c r="F98" i="15"/>
  <c r="G108" i="15"/>
  <c r="K108" i="15"/>
  <c r="S99" i="15"/>
  <c r="X99" i="15" s="1"/>
  <c r="L105" i="15"/>
  <c r="R79" i="15"/>
  <c r="W79" i="15" s="1"/>
  <c r="P99" i="15"/>
  <c r="U99" i="15" s="1"/>
  <c r="I108" i="15"/>
  <c r="Q82" i="15"/>
  <c r="V82" i="15" s="1"/>
  <c r="H88" i="15"/>
  <c r="D46" i="15"/>
  <c r="O42" i="15"/>
  <c r="T42" i="15" s="1"/>
  <c r="O99" i="15"/>
  <c r="T99" i="15" s="1"/>
  <c r="D105" i="15"/>
  <c r="D77" i="15"/>
  <c r="L88" i="15"/>
  <c r="S79" i="15"/>
  <c r="X79" i="15" s="1"/>
  <c r="F87" i="15"/>
  <c r="Q94" i="15"/>
  <c r="V94" i="15" s="1"/>
  <c r="R94" i="15"/>
  <c r="W94" i="15" s="1"/>
  <c r="P43" i="9"/>
  <c r="G43" i="9"/>
  <c r="G41" i="9"/>
  <c r="K41" i="9"/>
  <c r="G8" i="9"/>
  <c r="I41" i="9"/>
  <c r="G27" i="9"/>
  <c r="G16" i="9"/>
  <c r="I37" i="9"/>
  <c r="H41" i="9"/>
  <c r="K16" i="9"/>
  <c r="K37" i="9"/>
  <c r="G24" i="9"/>
  <c r="G31" i="9"/>
  <c r="G25" i="9"/>
  <c r="J25" i="9"/>
  <c r="J24" i="9"/>
  <c r="K42" i="9"/>
  <c r="K27" i="9"/>
  <c r="I16" i="9"/>
  <c r="F29" i="9"/>
  <c r="I29" i="9" s="1"/>
  <c r="J29" i="9"/>
  <c r="P16" i="9"/>
  <c r="K43" i="9"/>
  <c r="G44" i="9"/>
  <c r="O44" i="9" s="1"/>
  <c r="I33" i="9"/>
  <c r="P24" i="9"/>
  <c r="M6" i="9"/>
  <c r="J16" i="9"/>
  <c r="O18" i="9"/>
  <c r="Q18" i="9" s="1"/>
  <c r="R18" i="9" s="1"/>
  <c r="S18" i="9" s="1"/>
  <c r="I24" i="9"/>
  <c r="H8" i="9"/>
  <c r="H6" i="9"/>
  <c r="P42" i="9"/>
  <c r="J60" i="9"/>
  <c r="H58" i="9"/>
  <c r="K45" i="9"/>
  <c r="I40" i="9"/>
  <c r="G29" i="9"/>
  <c r="AP56" i="26"/>
  <c r="Q80" i="15"/>
  <c r="V80" i="15" s="1"/>
  <c r="H87" i="15"/>
  <c r="J106" i="15"/>
  <c r="R100" i="15"/>
  <c r="W100" i="15" s="1"/>
  <c r="J77" i="15"/>
  <c r="R73" i="15"/>
  <c r="W73" i="15" s="1"/>
  <c r="L106" i="15"/>
  <c r="P73" i="15"/>
  <c r="U73" i="15" s="1"/>
  <c r="H105" i="15"/>
  <c r="F106" i="15"/>
  <c r="AI53" i="26"/>
  <c r="AH46" i="26"/>
  <c r="AL46" i="26"/>
  <c r="AI57" i="26"/>
  <c r="AN57" i="26"/>
  <c r="AO57" i="26" s="1"/>
  <c r="AP57" i="26" s="1"/>
  <c r="AK47" i="26"/>
  <c r="AN47" i="26" s="1"/>
  <c r="AO47" i="26" s="1"/>
  <c r="AI15" i="26"/>
  <c r="AH15" i="26"/>
  <c r="AL57" i="26"/>
  <c r="AI47" i="26"/>
  <c r="AM53" i="26"/>
  <c r="AJ15" i="26"/>
  <c r="AI46" i="26"/>
  <c r="AH53" i="26"/>
  <c r="AM47" i="26"/>
  <c r="AN54" i="26"/>
  <c r="AO54" i="26" s="1"/>
  <c r="AP54" i="26" s="1"/>
  <c r="AK12" i="26"/>
  <c r="G27" i="26" s="1"/>
  <c r="AH12" i="26"/>
  <c r="AJ54" i="26"/>
  <c r="AI54" i="26"/>
  <c r="AJ12" i="26"/>
  <c r="AK54" i="26"/>
  <c r="AH54" i="26"/>
  <c r="Q118" i="15"/>
  <c r="V118" i="15" s="1"/>
  <c r="J93" i="15"/>
  <c r="R92" i="15"/>
  <c r="W92" i="15" s="1"/>
  <c r="P70" i="15"/>
  <c r="U70" i="15" s="1"/>
  <c r="F72" i="15"/>
  <c r="AM45" i="26"/>
  <c r="J87" i="15"/>
  <c r="R152" i="15"/>
  <c r="W152" i="15" s="1"/>
  <c r="S133" i="15"/>
  <c r="X133" i="15" s="1"/>
  <c r="L134" i="15"/>
  <c r="R131" i="15"/>
  <c r="W131" i="15" s="1"/>
  <c r="O131" i="15"/>
  <c r="T131" i="15" s="1"/>
  <c r="D130" i="15"/>
  <c r="O129" i="15"/>
  <c r="T129" i="15" s="1"/>
  <c r="R84" i="15"/>
  <c r="W84" i="15" s="1"/>
  <c r="J89" i="15"/>
  <c r="F89" i="15"/>
  <c r="P84" i="15"/>
  <c r="U84" i="15" s="1"/>
  <c r="O51" i="15"/>
  <c r="T51" i="15" s="1"/>
  <c r="H49" i="15"/>
  <c r="Q48" i="15"/>
  <c r="V48" i="15" s="1"/>
  <c r="P82" i="15"/>
  <c r="U82" i="15" s="1"/>
  <c r="F88" i="15"/>
  <c r="R137" i="15"/>
  <c r="W137" i="15" s="1"/>
  <c r="J139" i="15"/>
  <c r="L72" i="15"/>
  <c r="S70" i="15"/>
  <c r="X70" i="15" s="1"/>
  <c r="AJ9" i="26"/>
  <c r="O121" i="15"/>
  <c r="T121" i="15" s="1"/>
  <c r="P66" i="15"/>
  <c r="U66" i="15" s="1"/>
  <c r="F67" i="15"/>
  <c r="R54" i="15"/>
  <c r="W54" i="15" s="1"/>
  <c r="F93" i="15"/>
  <c r="P92" i="15"/>
  <c r="U92" i="15" s="1"/>
  <c r="O61" i="15"/>
  <c r="T61" i="15" s="1"/>
  <c r="AK9" i="26"/>
  <c r="AL9" i="26" s="1"/>
  <c r="H24" i="26" s="1"/>
  <c r="L22" i="31" s="1"/>
  <c r="AG21" i="31" s="1"/>
  <c r="J46" i="15"/>
  <c r="F139" i="15"/>
  <c r="P137" i="15"/>
  <c r="U137" i="15" s="1"/>
  <c r="O114" i="15"/>
  <c r="T114" i="15" s="1"/>
  <c r="L60" i="9"/>
  <c r="L49" i="15"/>
  <c r="R110" i="15"/>
  <c r="W110" i="15" s="1"/>
  <c r="H46" i="15"/>
  <c r="P9" i="9"/>
  <c r="K40" i="9"/>
  <c r="O40" i="9" s="1"/>
  <c r="Q40" i="9" s="1"/>
  <c r="R40" i="9" s="1"/>
  <c r="S40" i="9" s="1"/>
  <c r="G56" i="9"/>
  <c r="L7" i="9"/>
  <c r="H67" i="15"/>
  <c r="K56" i="9"/>
  <c r="O61" i="9"/>
  <c r="Q61" i="9" s="1"/>
  <c r="P9" i="15"/>
  <c r="U9" i="15" s="1"/>
  <c r="P60" i="9"/>
  <c r="R37" i="15"/>
  <c r="W37" i="15" s="1"/>
  <c r="O127" i="15"/>
  <c r="T127" i="15" s="1"/>
  <c r="K9" i="9"/>
  <c r="L58" i="9"/>
  <c r="R121" i="15"/>
  <c r="W121" i="15" s="1"/>
  <c r="H72" i="15"/>
  <c r="J56" i="9"/>
  <c r="O51" i="9"/>
  <c r="Q51" i="9" s="1"/>
  <c r="G60" i="9"/>
  <c r="K60" i="9"/>
  <c r="J81" i="13"/>
  <c r="T81" i="13" s="1"/>
  <c r="Y81" i="13" s="1"/>
  <c r="J67" i="15"/>
  <c r="P133" i="15"/>
  <c r="U133" i="15" s="1"/>
  <c r="Q51" i="15"/>
  <c r="V51" i="15" s="1"/>
  <c r="I9" i="9"/>
  <c r="P25" i="15"/>
  <c r="U25" i="15" s="1"/>
  <c r="K58" i="9"/>
  <c r="H100" i="15"/>
  <c r="I60" i="9"/>
  <c r="H9" i="9"/>
  <c r="D117" i="15"/>
  <c r="S84" i="15"/>
  <c r="X84" i="15" s="1"/>
  <c r="I7" i="9"/>
  <c r="S40" i="15"/>
  <c r="X40" i="15" s="1"/>
  <c r="L20" i="15"/>
  <c r="O4" i="9"/>
  <c r="Q4" i="9" s="1"/>
  <c r="M21" i="7"/>
  <c r="O21" i="7" s="1"/>
  <c r="P21" i="7" s="1"/>
  <c r="O52" i="9"/>
  <c r="Q52" i="9" s="1"/>
  <c r="J49" i="9"/>
  <c r="J23" i="9"/>
  <c r="M26" i="7"/>
  <c r="O26" i="7" s="1"/>
  <c r="P26" i="7" s="1"/>
  <c r="M17" i="7"/>
  <c r="O17" i="7" s="1"/>
  <c r="P17" i="7" s="1"/>
  <c r="Q12" i="9"/>
  <c r="O10" i="9"/>
  <c r="Q10" i="9" s="1"/>
  <c r="AK57" i="26"/>
  <c r="O55" i="9"/>
  <c r="Q55" i="9" s="1"/>
  <c r="O38" i="9"/>
  <c r="Q38" i="9" s="1"/>
  <c r="K24" i="9"/>
  <c r="P147" i="15"/>
  <c r="U147" i="15" s="1"/>
  <c r="O143" i="15"/>
  <c r="T143" i="15" s="1"/>
  <c r="Q125" i="15"/>
  <c r="V125" i="15" s="1"/>
  <c r="T4" i="15"/>
  <c r="S144" i="15"/>
  <c r="X144" i="15" s="1"/>
  <c r="O94" i="15"/>
  <c r="T94" i="15" s="1"/>
  <c r="S131" i="15"/>
  <c r="X131" i="15" s="1"/>
  <c r="C108" i="15"/>
  <c r="H134" i="15"/>
  <c r="R144" i="15"/>
  <c r="W144" i="15" s="1"/>
  <c r="S140" i="15"/>
  <c r="X140" i="15" s="1"/>
  <c r="S146" i="15"/>
  <c r="X146" i="15" s="1"/>
  <c r="E108" i="15"/>
  <c r="AL19" i="26"/>
  <c r="H34" i="26" s="1"/>
  <c r="L32" i="31" s="1"/>
  <c r="F130" i="15"/>
  <c r="S94" i="15"/>
  <c r="X94" i="15" s="1"/>
  <c r="L98" i="15"/>
  <c r="AJ5" i="26"/>
  <c r="AN58" i="26"/>
  <c r="AO58" i="26" s="1"/>
  <c r="I57" i="26" s="1"/>
  <c r="O48" i="9"/>
  <c r="Q48" i="9" s="1"/>
  <c r="R48" i="9" s="1"/>
  <c r="S48" i="9" s="1"/>
  <c r="H57" i="9"/>
  <c r="P57" i="9"/>
  <c r="G57" i="9"/>
  <c r="AL14" i="26"/>
  <c r="H29" i="26" s="1"/>
  <c r="L27" i="31" s="1"/>
  <c r="AL16" i="26"/>
  <c r="H31" i="26" s="1"/>
  <c r="L29" i="31" s="1"/>
  <c r="AH58" i="26"/>
  <c r="AH17" i="26"/>
  <c r="AI58" i="26"/>
  <c r="P127" i="15"/>
  <c r="U127" i="15" s="1"/>
  <c r="R28" i="15"/>
  <c r="W28" i="15" s="1"/>
  <c r="R123" i="15"/>
  <c r="W123" i="15" s="1"/>
  <c r="P37" i="15"/>
  <c r="U37" i="15" s="1"/>
  <c r="F38" i="15"/>
  <c r="P23" i="15"/>
  <c r="U23" i="15" s="1"/>
  <c r="F24" i="15"/>
  <c r="AJ8" i="26"/>
  <c r="AK45" i="26"/>
  <c r="D87" i="15"/>
  <c r="AK58" i="26"/>
  <c r="AJ58" i="26"/>
  <c r="L57" i="9"/>
  <c r="K57" i="9"/>
  <c r="J57" i="9"/>
  <c r="I57" i="9"/>
  <c r="AM58" i="26"/>
  <c r="R151" i="15"/>
  <c r="W151" i="15" s="1"/>
  <c r="AJ17" i="26"/>
  <c r="P152" i="15"/>
  <c r="U152" i="15" s="1"/>
  <c r="O118" i="15"/>
  <c r="T118" i="15" s="1"/>
  <c r="P75" i="15"/>
  <c r="U75" i="15" s="1"/>
  <c r="M30" i="7"/>
  <c r="O30" i="7" s="1"/>
  <c r="P30" i="7" s="1"/>
  <c r="M29" i="7"/>
  <c r="O29" i="7" s="1"/>
  <c r="P29" i="7" s="1"/>
  <c r="O54" i="9"/>
  <c r="Q54" i="9" s="1"/>
  <c r="S12" i="15"/>
  <c r="X12" i="15" s="1"/>
  <c r="R12" i="15"/>
  <c r="W12" i="15" s="1"/>
  <c r="O12" i="15"/>
  <c r="T12" i="15" s="1"/>
  <c r="AI7" i="26"/>
  <c r="AJ45" i="26"/>
  <c r="AE16" i="31"/>
  <c r="AK16" i="31" s="1"/>
  <c r="AQ17" i="31" s="1"/>
  <c r="AK17" i="26"/>
  <c r="AM44" i="26"/>
  <c r="AQ52" i="26"/>
  <c r="AR52" i="26" s="1"/>
  <c r="I51" i="26"/>
  <c r="AG16" i="31"/>
  <c r="AM16" i="31" s="1"/>
  <c r="AS17" i="31" s="1"/>
  <c r="Q80" i="31"/>
  <c r="O65" i="31"/>
  <c r="AH45" i="26"/>
  <c r="AI45" i="26"/>
  <c r="AP52" i="26"/>
  <c r="I55" i="26"/>
  <c r="AL15" i="26"/>
  <c r="H30" i="26" s="1"/>
  <c r="L28" i="31" s="1"/>
  <c r="AI27" i="31" s="1"/>
  <c r="AH8" i="26"/>
  <c r="AK8" i="26" s="1"/>
  <c r="AH7" i="26"/>
  <c r="AK7" i="26" s="1"/>
  <c r="AH6" i="26"/>
  <c r="AK6" i="26" s="1"/>
  <c r="AL56" i="26"/>
  <c r="AK55" i="26"/>
  <c r="AL54" i="26"/>
  <c r="AK53" i="26"/>
  <c r="AL52" i="26"/>
  <c r="AK51" i="26"/>
  <c r="AN51" i="26" s="1"/>
  <c r="AO51" i="26" s="1"/>
  <c r="AL50" i="26"/>
  <c r="AK49" i="26"/>
  <c r="AN49" i="26" s="1"/>
  <c r="AO49" i="26" s="1"/>
  <c r="AP55" i="26"/>
  <c r="I54" i="26"/>
  <c r="AQ55" i="26"/>
  <c r="I52" i="26"/>
  <c r="AP53" i="26"/>
  <c r="AQ53" i="26"/>
  <c r="J55" i="26"/>
  <c r="Y30" i="31" s="1"/>
  <c r="AK29" i="31" s="1"/>
  <c r="AR56" i="26"/>
  <c r="O23" i="31" l="1"/>
  <c r="AG22" i="31"/>
  <c r="AE22" i="31"/>
  <c r="AQ48" i="26"/>
  <c r="J47" i="26" s="1"/>
  <c r="Y22" i="31" s="1"/>
  <c r="AL18" i="26"/>
  <c r="H33" i="26" s="1"/>
  <c r="L31" i="31" s="1"/>
  <c r="AE30" i="31" s="1"/>
  <c r="G25" i="26"/>
  <c r="AL11" i="26"/>
  <c r="H26" i="26" s="1"/>
  <c r="L24" i="31" s="1"/>
  <c r="AG23" i="31" s="1"/>
  <c r="I47" i="26"/>
  <c r="G28" i="26"/>
  <c r="Q44" i="9"/>
  <c r="R44" i="9" s="1"/>
  <c r="S44" i="9" s="1"/>
  <c r="Q73" i="15"/>
  <c r="V73" i="15" s="1"/>
  <c r="AE21" i="31"/>
  <c r="O46" i="9"/>
  <c r="Q46" i="9" s="1"/>
  <c r="R46" i="9" s="1"/>
  <c r="S46" i="9" s="1"/>
  <c r="O59" i="9"/>
  <c r="Q59" i="9" s="1"/>
  <c r="R59" i="9" s="1"/>
  <c r="S59" i="9" s="1"/>
  <c r="AQ57" i="26"/>
  <c r="J56" i="26" s="1"/>
  <c r="Y31" i="31" s="1"/>
  <c r="O49" i="9"/>
  <c r="Q49" i="9" s="1"/>
  <c r="R49" i="9" s="1"/>
  <c r="S49" i="9" s="1"/>
  <c r="O26" i="9"/>
  <c r="Q26" i="9" s="1"/>
  <c r="R26" i="9" s="1"/>
  <c r="S26" i="9" s="1"/>
  <c r="K25" i="9"/>
  <c r="O31" i="9"/>
  <c r="Q31" i="9" s="1"/>
  <c r="R31" i="9" s="1"/>
  <c r="S31" i="9" s="1"/>
  <c r="R99" i="15"/>
  <c r="W99" i="15" s="1"/>
  <c r="D106" i="15"/>
  <c r="O47" i="9"/>
  <c r="Q47" i="9" s="1"/>
  <c r="R47" i="9" s="1"/>
  <c r="S47" i="9" s="1"/>
  <c r="O37" i="9"/>
  <c r="Q37" i="9" s="1"/>
  <c r="R37" i="9" s="1"/>
  <c r="S37" i="9" s="1"/>
  <c r="R82" i="15"/>
  <c r="W82" i="15" s="1"/>
  <c r="O32" i="9"/>
  <c r="Q32" i="9" s="1"/>
  <c r="R32" i="9" s="1"/>
  <c r="S32" i="9" s="1"/>
  <c r="O33" i="9"/>
  <c r="Q33" i="9" s="1"/>
  <c r="R33" i="9" s="1"/>
  <c r="S33" i="9" s="1"/>
  <c r="I23" i="9"/>
  <c r="K23" i="9"/>
  <c r="I49" i="26"/>
  <c r="O80" i="31"/>
  <c r="AF16" i="31"/>
  <c r="AL16" i="31" s="1"/>
  <c r="AR17" i="31" s="1"/>
  <c r="AF22" i="31"/>
  <c r="AH16" i="31"/>
  <c r="AN16" i="31" s="1"/>
  <c r="AT17" i="31" s="1"/>
  <c r="S80" i="31"/>
  <c r="AH22" i="31"/>
  <c r="AN45" i="26"/>
  <c r="AO45" i="26" s="1"/>
  <c r="AP45" i="26" s="1"/>
  <c r="AF26" i="31"/>
  <c r="AN46" i="26"/>
  <c r="AO46" i="26" s="1"/>
  <c r="AP46" i="26" s="1"/>
  <c r="O6" i="9"/>
  <c r="Q6" i="9" s="1"/>
  <c r="R6" i="9" s="1"/>
  <c r="S6" i="9" s="1"/>
  <c r="O82" i="15"/>
  <c r="T82" i="15" s="1"/>
  <c r="D88" i="15"/>
  <c r="O9" i="9"/>
  <c r="Q9" i="9" s="1"/>
  <c r="R9" i="9" s="1"/>
  <c r="S9" i="9" s="1"/>
  <c r="O45" i="9"/>
  <c r="Q45" i="9" s="1"/>
  <c r="R45" i="9" s="1"/>
  <c r="S45" i="9" s="1"/>
  <c r="O15" i="9"/>
  <c r="Q15" i="9" s="1"/>
  <c r="R15" i="9" s="1"/>
  <c r="S15" i="9" s="1"/>
  <c r="AF28" i="31"/>
  <c r="AF31" i="31"/>
  <c r="O7" i="9"/>
  <c r="Q7" i="9" s="1"/>
  <c r="R7" i="9" s="1"/>
  <c r="S7" i="9" s="1"/>
  <c r="O79" i="15"/>
  <c r="T79" i="15" s="1"/>
  <c r="D86" i="15"/>
  <c r="AP50" i="26"/>
  <c r="AH25" i="31"/>
  <c r="S80" i="15"/>
  <c r="X80" i="15" s="1"/>
  <c r="AQ51" i="26"/>
  <c r="AR51" i="26" s="1"/>
  <c r="AP51" i="26"/>
  <c r="I50" i="26"/>
  <c r="I48" i="26"/>
  <c r="AQ49" i="26"/>
  <c r="AR49" i="26" s="1"/>
  <c r="AP49" i="26"/>
  <c r="AQ47" i="26"/>
  <c r="AR47" i="26" s="1"/>
  <c r="K46" i="26" s="1"/>
  <c r="I46" i="26"/>
  <c r="I56" i="26"/>
  <c r="AH5" i="26"/>
  <c r="AK5" i="26" s="1"/>
  <c r="AL5" i="26" s="1"/>
  <c r="H20" i="26" s="1"/>
  <c r="AL44" i="26"/>
  <c r="D108" i="15"/>
  <c r="O24" i="9"/>
  <c r="Q24" i="9" s="1"/>
  <c r="R24" i="9" s="1"/>
  <c r="S24" i="9" s="1"/>
  <c r="O8" i="9"/>
  <c r="Q8" i="9" s="1"/>
  <c r="R8" i="9" s="1"/>
  <c r="S8" i="9" s="1"/>
  <c r="O43" i="9"/>
  <c r="Q43" i="9" s="1"/>
  <c r="R43" i="9" s="1"/>
  <c r="S43" i="9" s="1"/>
  <c r="O27" i="9"/>
  <c r="Q27" i="9" s="1"/>
  <c r="R27" i="9" s="1"/>
  <c r="S27" i="9" s="1"/>
  <c r="O41" i="9"/>
  <c r="Q41" i="9" s="1"/>
  <c r="R41" i="9" s="1"/>
  <c r="S41" i="9" s="1"/>
  <c r="AK44" i="26"/>
  <c r="AN44" i="26" s="1"/>
  <c r="AI5" i="26"/>
  <c r="L108" i="15"/>
  <c r="O56" i="9"/>
  <c r="Q56" i="9" s="1"/>
  <c r="R56" i="9" s="1"/>
  <c r="S56" i="9" s="1"/>
  <c r="O60" i="9"/>
  <c r="Q60" i="9" s="1"/>
  <c r="R60" i="9" s="1"/>
  <c r="S60" i="9" s="1"/>
  <c r="O29" i="9"/>
  <c r="Q29" i="9" s="1"/>
  <c r="R29" i="9" s="1"/>
  <c r="S29" i="9" s="1"/>
  <c r="O16" i="9"/>
  <c r="Q16" i="9" s="1"/>
  <c r="R16" i="9" s="1"/>
  <c r="S16" i="9" s="1"/>
  <c r="Q42" i="9"/>
  <c r="R42" i="9" s="1"/>
  <c r="S42" i="9" s="1"/>
  <c r="O58" i="9"/>
  <c r="Q58" i="9" s="1"/>
  <c r="R58" i="9" s="1"/>
  <c r="S58" i="9" s="1"/>
  <c r="O25" i="9"/>
  <c r="Q25" i="9" s="1"/>
  <c r="R25" i="9" s="1"/>
  <c r="S25" i="9" s="1"/>
  <c r="AQ58" i="26"/>
  <c r="AR58" i="26" s="1"/>
  <c r="F108" i="15"/>
  <c r="I53" i="26"/>
  <c r="O22" i="31"/>
  <c r="AH21" i="31"/>
  <c r="AL12" i="26"/>
  <c r="H27" i="26" s="1"/>
  <c r="L25" i="31" s="1"/>
  <c r="AI24" i="31" s="1"/>
  <c r="AI21" i="31"/>
  <c r="AP47" i="26"/>
  <c r="AQ54" i="26"/>
  <c r="J53" i="26" s="1"/>
  <c r="Y28" i="31" s="1"/>
  <c r="AP58" i="26"/>
  <c r="G24" i="26"/>
  <c r="AH26" i="31"/>
  <c r="AF21" i="31"/>
  <c r="AE28" i="31"/>
  <c r="AG31" i="31"/>
  <c r="O32" i="31"/>
  <c r="O29" i="31"/>
  <c r="AE26" i="31"/>
  <c r="AI31" i="31"/>
  <c r="AE31" i="31"/>
  <c r="AI28" i="31"/>
  <c r="AI26" i="31"/>
  <c r="O27" i="31"/>
  <c r="Q100" i="15"/>
  <c r="V100" i="15" s="1"/>
  <c r="H106" i="15"/>
  <c r="J51" i="26"/>
  <c r="Y26" i="31" s="1"/>
  <c r="AC26" i="31" s="1"/>
  <c r="AI25" i="31"/>
  <c r="AG28" i="31"/>
  <c r="AG26" i="31"/>
  <c r="AH28" i="31"/>
  <c r="O26" i="31"/>
  <c r="AH31" i="31"/>
  <c r="AE25" i="31"/>
  <c r="O57" i="9"/>
  <c r="Q57" i="9" s="1"/>
  <c r="R57" i="9" s="1"/>
  <c r="S57" i="9" s="1"/>
  <c r="O28" i="31"/>
  <c r="AG27" i="31"/>
  <c r="AM29" i="31"/>
  <c r="AL29" i="31"/>
  <c r="AF27" i="31"/>
  <c r="AH27" i="31"/>
  <c r="AN29" i="31"/>
  <c r="AG25" i="31"/>
  <c r="AF25" i="31"/>
  <c r="AE27" i="31"/>
  <c r="G23" i="26"/>
  <c r="AL8" i="26"/>
  <c r="H23" i="26" s="1"/>
  <c r="L21" i="31" s="1"/>
  <c r="AH20" i="31" s="1"/>
  <c r="G21" i="26"/>
  <c r="AL6" i="26"/>
  <c r="H21" i="26" s="1"/>
  <c r="L19" i="31" s="1"/>
  <c r="AF18" i="31" s="1"/>
  <c r="AL7" i="26"/>
  <c r="H22" i="26" s="1"/>
  <c r="L20" i="31" s="1"/>
  <c r="G22" i="26"/>
  <c r="AL17" i="26"/>
  <c r="H32" i="26" s="1"/>
  <c r="L30" i="31" s="1"/>
  <c r="G32" i="26"/>
  <c r="K51" i="26"/>
  <c r="AA26" i="31"/>
  <c r="J49" i="26"/>
  <c r="Y24" i="31" s="1"/>
  <c r="AR50" i="26"/>
  <c r="J54" i="26"/>
  <c r="Y29" i="31" s="1"/>
  <c r="AR55" i="26"/>
  <c r="AO29" i="31"/>
  <c r="AC30" i="31"/>
  <c r="AA30" i="31"/>
  <c r="K55" i="26"/>
  <c r="AR53" i="26"/>
  <c r="J52" i="26"/>
  <c r="Y27" i="31" s="1"/>
  <c r="AR48" i="26" l="1"/>
  <c r="K47" i="26" s="1"/>
  <c r="AH23" i="31"/>
  <c r="AI23" i="31"/>
  <c r="AE23" i="31"/>
  <c r="AG30" i="31"/>
  <c r="O31" i="31"/>
  <c r="AF30" i="31"/>
  <c r="AF23" i="31"/>
  <c r="O24" i="31"/>
  <c r="AH30" i="31"/>
  <c r="AI30" i="31"/>
  <c r="AR57" i="26"/>
  <c r="K56" i="26" s="1"/>
  <c r="I44" i="26"/>
  <c r="O23" i="9"/>
  <c r="Q23" i="9" s="1"/>
  <c r="R23" i="9" s="1"/>
  <c r="S23" i="9" s="1"/>
  <c r="AE24" i="31"/>
  <c r="AK25" i="31"/>
  <c r="AA21" i="31"/>
  <c r="AQ45" i="26"/>
  <c r="J44" i="26" s="1"/>
  <c r="Y19" i="31" s="1"/>
  <c r="AN18" i="31" s="1"/>
  <c r="J50" i="26"/>
  <c r="Y25" i="31" s="1"/>
  <c r="AK24" i="31" s="1"/>
  <c r="J48" i="26"/>
  <c r="Y23" i="31" s="1"/>
  <c r="AL22" i="31" s="1"/>
  <c r="AQ46" i="26"/>
  <c r="AR46" i="26" s="1"/>
  <c r="K45" i="26" s="1"/>
  <c r="I45" i="26"/>
  <c r="J46" i="26"/>
  <c r="Y21" i="31" s="1"/>
  <c r="AO20" i="31" s="1"/>
  <c r="AO44" i="26"/>
  <c r="AQ44" i="26" s="1"/>
  <c r="G20" i="26"/>
  <c r="AR54" i="26"/>
  <c r="K53" i="26" s="1"/>
  <c r="J57" i="26"/>
  <c r="Y32" i="31" s="1"/>
  <c r="AN31" i="31" s="1"/>
  <c r="AG24" i="31"/>
  <c r="AM25" i="31"/>
  <c r="O25" i="31"/>
  <c r="AF24" i="31"/>
  <c r="L18" i="31"/>
  <c r="AE17" i="31" s="1"/>
  <c r="S20" i="26"/>
  <c r="S21" i="26" s="1"/>
  <c r="AO25" i="31"/>
  <c r="AH24" i="31"/>
  <c r="AJ44" i="26"/>
  <c r="AL25" i="31"/>
  <c r="AN25" i="31"/>
  <c r="H108" i="15"/>
  <c r="AK26" i="31"/>
  <c r="AM26" i="31"/>
  <c r="AL26" i="31"/>
  <c r="AN26" i="31"/>
  <c r="AK30" i="31"/>
  <c r="AM30" i="31"/>
  <c r="AL30" i="31"/>
  <c r="AN30" i="31"/>
  <c r="AK28" i="31"/>
  <c r="AL28" i="31"/>
  <c r="AN28" i="31"/>
  <c r="AM28" i="31"/>
  <c r="AK27" i="31"/>
  <c r="AL27" i="31"/>
  <c r="AM27" i="31"/>
  <c r="AN27" i="31"/>
  <c r="AK23" i="31"/>
  <c r="AM23" i="31"/>
  <c r="AN23" i="31"/>
  <c r="AL23" i="31"/>
  <c r="AK21" i="31"/>
  <c r="AL21" i="31"/>
  <c r="AM21" i="31"/>
  <c r="AN21" i="31"/>
  <c r="AE29" i="31"/>
  <c r="AG29" i="31"/>
  <c r="AF29" i="31"/>
  <c r="AH29" i="31"/>
  <c r="AI20" i="31"/>
  <c r="AE20" i="31"/>
  <c r="AG20" i="31"/>
  <c r="AF20" i="31"/>
  <c r="AE19" i="31"/>
  <c r="AF19" i="31"/>
  <c r="AH19" i="31"/>
  <c r="AG18" i="31"/>
  <c r="AH18" i="31"/>
  <c r="AE18" i="31"/>
  <c r="O21" i="31"/>
  <c r="AI18" i="31"/>
  <c r="O19" i="31"/>
  <c r="AI19" i="31"/>
  <c r="AG19" i="31"/>
  <c r="O20" i="31"/>
  <c r="O30" i="31"/>
  <c r="AI29" i="31"/>
  <c r="AA22" i="31"/>
  <c r="AC22" i="31"/>
  <c r="AO21" i="31"/>
  <c r="K49" i="26"/>
  <c r="AA24" i="31"/>
  <c r="AO27" i="31"/>
  <c r="AC28" i="31"/>
  <c r="AC24" i="31"/>
  <c r="AO23" i="31"/>
  <c r="AA32" i="31"/>
  <c r="K57" i="26"/>
  <c r="K54" i="26"/>
  <c r="AA29" i="31"/>
  <c r="K50" i="26"/>
  <c r="AA25" i="31"/>
  <c r="AO28" i="31"/>
  <c r="AC29" i="31"/>
  <c r="AO26" i="31"/>
  <c r="AC27" i="31"/>
  <c r="K52" i="26"/>
  <c r="AA27" i="31"/>
  <c r="AO30" i="31"/>
  <c r="AC31" i="31"/>
  <c r="AA23" i="31"/>
  <c r="K48" i="26"/>
  <c r="AA31" i="31" l="1"/>
  <c r="AK18" i="31"/>
  <c r="AN20" i="31"/>
  <c r="AO24" i="31"/>
  <c r="AM18" i="31"/>
  <c r="AR45" i="26"/>
  <c r="K44" i="26" s="1"/>
  <c r="AK31" i="31"/>
  <c r="AC23" i="31"/>
  <c r="AO18" i="31"/>
  <c r="AL24" i="31"/>
  <c r="AK22" i="31"/>
  <c r="AO22" i="31"/>
  <c r="AM24" i="31"/>
  <c r="AM22" i="31"/>
  <c r="AN24" i="31"/>
  <c r="AN22" i="31"/>
  <c r="AC19" i="31"/>
  <c r="AL18" i="31"/>
  <c r="AM20" i="31"/>
  <c r="AL20" i="31"/>
  <c r="AC25" i="31"/>
  <c r="AA20" i="31"/>
  <c r="J45" i="26"/>
  <c r="Y20" i="31" s="1"/>
  <c r="AA28" i="31"/>
  <c r="AC21" i="31"/>
  <c r="AF17" i="31"/>
  <c r="AF32" i="31" s="1"/>
  <c r="AK20" i="31"/>
  <c r="I43" i="26"/>
  <c r="J43" i="26"/>
  <c r="Y18" i="31" s="1"/>
  <c r="AK17" i="31" s="1"/>
  <c r="AR44" i="26"/>
  <c r="K43" i="26" s="1"/>
  <c r="AP44" i="26"/>
  <c r="AH17" i="31"/>
  <c r="AH32" i="31" s="1"/>
  <c r="AI17" i="31"/>
  <c r="AI32" i="31" s="1"/>
  <c r="AG17" i="31"/>
  <c r="AG32" i="31" s="1"/>
  <c r="AM31" i="31"/>
  <c r="AL31" i="31"/>
  <c r="AO31" i="31"/>
  <c r="AC32" i="31"/>
  <c r="O18" i="31"/>
  <c r="Q25" i="31" s="1"/>
  <c r="O38" i="31"/>
  <c r="O39" i="31" s="1"/>
  <c r="S22" i="26"/>
  <c r="N15" i="26"/>
  <c r="G16" i="26"/>
  <c r="G39" i="26"/>
  <c r="N38" i="26"/>
  <c r="AE32" i="31"/>
  <c r="AA19" i="31" l="1"/>
  <c r="AN17" i="31"/>
  <c r="AO17" i="31"/>
  <c r="AL17" i="31"/>
  <c r="AM17" i="31"/>
  <c r="AL19" i="31"/>
  <c r="AO19" i="31"/>
  <c r="AM19" i="31"/>
  <c r="AN19" i="31"/>
  <c r="AK19" i="31"/>
  <c r="AK32" i="31" s="1"/>
  <c r="AQ18" i="31" s="1"/>
  <c r="AQ19" i="31" s="1"/>
  <c r="AC20" i="31"/>
  <c r="AA18" i="31"/>
  <c r="Q38" i="31"/>
  <c r="N38" i="31" s="1"/>
  <c r="AC18" i="31"/>
  <c r="S43" i="26"/>
  <c r="S44" i="26" s="1"/>
  <c r="N45" i="26" s="1"/>
  <c r="AO32" i="31" l="1"/>
  <c r="AU18" i="31" s="1"/>
  <c r="AU19" i="31" s="1"/>
  <c r="I54" i="31" s="1"/>
  <c r="U82" i="31" s="1"/>
  <c r="AM32" i="31"/>
  <c r="AS18" i="31" s="1"/>
  <c r="AS19" i="31" s="1"/>
  <c r="I52" i="31" s="1"/>
  <c r="K52" i="31" s="1"/>
  <c r="Q84" i="31" s="1"/>
  <c r="Q86" i="31" s="1"/>
  <c r="Q88" i="31" s="1"/>
  <c r="AL32" i="31"/>
  <c r="AR18" i="31" s="1"/>
  <c r="AR19" i="31" s="1"/>
  <c r="I51" i="31" s="1"/>
  <c r="K51" i="31" s="1"/>
  <c r="O84" i="31" s="1"/>
  <c r="O86" i="31" s="1"/>
  <c r="O88" i="31" s="1"/>
  <c r="AN32" i="31"/>
  <c r="AT18" i="31" s="1"/>
  <c r="AT19" i="31" s="1"/>
  <c r="I53" i="31" s="1"/>
  <c r="K53" i="31" s="1"/>
  <c r="M53" i="31" s="1"/>
  <c r="Q39" i="31"/>
  <c r="N39" i="31" s="1"/>
  <c r="K11" i="26"/>
  <c r="I50" i="31"/>
  <c r="O67" i="31" s="1"/>
  <c r="Q82" i="31" l="1"/>
  <c r="K54" i="31"/>
  <c r="M54" i="31" s="1"/>
  <c r="S82" i="31"/>
  <c r="O82" i="31"/>
  <c r="S84" i="31"/>
  <c r="S86" i="31" s="1"/>
  <c r="S88" i="31" s="1"/>
  <c r="K50" i="31"/>
  <c r="U84" i="31" l="1"/>
  <c r="U86" i="31" s="1"/>
  <c r="U88" i="31" s="1"/>
  <c r="O69" i="31"/>
  <c r="O71" i="31" s="1"/>
  <c r="O73" i="31" s="1"/>
  <c r="M50" i="31"/>
</calcChain>
</file>

<file path=xl/sharedStrings.xml><?xml version="1.0" encoding="utf-8"?>
<sst xmlns="http://schemas.openxmlformats.org/spreadsheetml/2006/main" count="3742" uniqueCount="670">
  <si>
    <t>Alnus glutinosa</t>
  </si>
  <si>
    <t>Fraxinus spp.</t>
  </si>
  <si>
    <t>Betula spp.</t>
  </si>
  <si>
    <t>Abies alba</t>
  </si>
  <si>
    <t>Acacia spp.</t>
  </si>
  <si>
    <t>Ailanthus altissima</t>
  </si>
  <si>
    <t>Alnus spp.</t>
  </si>
  <si>
    <t>Amelanchier ovalis</t>
  </si>
  <si>
    <t>Arbutus unedo</t>
  </si>
  <si>
    <t>Carpinus betulus</t>
  </si>
  <si>
    <t>Castanea sativa</t>
  </si>
  <si>
    <t>Cedrus atlantica</t>
  </si>
  <si>
    <t>Celtis australis</t>
  </si>
  <si>
    <t>Chamaecyparis lawsoniana</t>
  </si>
  <si>
    <t>Cornus sanguinea</t>
  </si>
  <si>
    <t>Corylus avellana</t>
  </si>
  <si>
    <t>Crataegus monogyna</t>
  </si>
  <si>
    <t>Crataegus spp.</t>
  </si>
  <si>
    <t>Cupressus arizonica</t>
  </si>
  <si>
    <t>Cupressus macrocarpa</t>
  </si>
  <si>
    <t>Cupressus sempervirens</t>
  </si>
  <si>
    <t>Erica arborea</t>
  </si>
  <si>
    <t>Eucalyptus camaldulensis</t>
  </si>
  <si>
    <t>Eucalyptus globulus</t>
  </si>
  <si>
    <t>Fagus sylvatica</t>
  </si>
  <si>
    <t>Ilex aquifolium</t>
  </si>
  <si>
    <t>Ilex canariensis</t>
  </si>
  <si>
    <t>Laurus azorica</t>
  </si>
  <si>
    <t>Laurus nobilis</t>
  </si>
  <si>
    <t>Malus sylvestris</t>
  </si>
  <si>
    <t>Mezcla de árboles de ribera</t>
  </si>
  <si>
    <t>Mezcla de coníferas</t>
  </si>
  <si>
    <t>Mezcla de pequeñas frondosas</t>
  </si>
  <si>
    <t>Myrica faya</t>
  </si>
  <si>
    <t>Myrtus communis</t>
  </si>
  <si>
    <t>Otras coníferas</t>
  </si>
  <si>
    <t>Otras frondosas</t>
  </si>
  <si>
    <t>Otros pinos</t>
  </si>
  <si>
    <t>Otros quercus</t>
  </si>
  <si>
    <t>Phillyrea latifolia</t>
  </si>
  <si>
    <t>Phoenix spp.</t>
  </si>
  <si>
    <t>Picea abies</t>
  </si>
  <si>
    <t>Pinus canariensis</t>
  </si>
  <si>
    <t>Pinus halepensis</t>
  </si>
  <si>
    <t>Pinus nigra</t>
  </si>
  <si>
    <t>Pinus pinaster (Norte)</t>
  </si>
  <si>
    <t>Pinus pinea</t>
  </si>
  <si>
    <t>Pinus radiata</t>
  </si>
  <si>
    <t>Pinus sylvestris</t>
  </si>
  <si>
    <t>Pinus uncinata</t>
  </si>
  <si>
    <t>Pistacia terebinthus</t>
  </si>
  <si>
    <t>Platanus hispanica</t>
  </si>
  <si>
    <t>Populus nigra</t>
  </si>
  <si>
    <t>Prunus spinosa</t>
  </si>
  <si>
    <t>Prunus spp.</t>
  </si>
  <si>
    <t>Pyrus spp.</t>
  </si>
  <si>
    <t>Quercus</t>
  </si>
  <si>
    <t>Quercus faginea</t>
  </si>
  <si>
    <t>Quercus ilex</t>
  </si>
  <si>
    <t>Quercus petraea</t>
  </si>
  <si>
    <t>Quercus pubescens (Q. humilis)</t>
  </si>
  <si>
    <t>Quercus pyrenaica</t>
  </si>
  <si>
    <t>Quercus robur</t>
  </si>
  <si>
    <t>Rhamnus alaternus</t>
  </si>
  <si>
    <t>Robinia pseudacacia</t>
  </si>
  <si>
    <t>Sorbus aria</t>
  </si>
  <si>
    <t>Sorbus aucuparia</t>
  </si>
  <si>
    <t>Sorbus spp.</t>
  </si>
  <si>
    <t>Sorbus torminalis</t>
  </si>
  <si>
    <t>Taxus baccata</t>
  </si>
  <si>
    <t>Tetraclinis articulata</t>
  </si>
  <si>
    <t>Thuja spp.</t>
  </si>
  <si>
    <t>Tilia spp.</t>
  </si>
  <si>
    <t>Ulmus spp.</t>
  </si>
  <si>
    <t>Mezcla de frondosas de gran porte</t>
  </si>
  <si>
    <t>Fuente</t>
  </si>
  <si>
    <t>Observaciones</t>
  </si>
  <si>
    <t>Madrigal Collazo, J.G. Alvarez Gonzáles, R. Rodríguez Soalleriro, A. Rojo Alboreca. Fundación Conde del Valle de Salazar. Madrid, 1999, Tablas de producción para los montes españoles.</t>
  </si>
  <si>
    <t>Tabla 7 de las Tablas nacionales del IFN1 para las especies que están disponibles en las publicaciones “Las Coníferas en el primer Inventario Forestal Nacional” y “Las Frondosas en el primer Inventario Forestal Nacional”.</t>
  </si>
  <si>
    <t>Tabla 201 del IFN3 y Ajustes parabólicos D-t del IFN1 que están disponibles en las publicaciones “Las Coníferas en el primer Inventario Forestal Nacional” y “Las Frondosas en el primer Inventario Forestal Nacional”.</t>
  </si>
  <si>
    <t>Tabla 402 del IFN3 y Ajustes parabólicos D-t del IFN1 que están disponibles en las publicaciones “Las Coníferas en el primer Inventario Forestal Nacional” y “Las Frondosas en el primer Inventario Forestal Nacional”.</t>
  </si>
  <si>
    <t>Tablas producción</t>
  </si>
  <si>
    <t>Tabla 7 IFN1</t>
  </si>
  <si>
    <t>D-t IFN1 - 201 IFN3</t>
  </si>
  <si>
    <t>D-t IFN1 - 402 IFN3</t>
  </si>
  <si>
    <t>Montero, 2014</t>
  </si>
  <si>
    <t>D-t IFN1 - Montero, 2005</t>
  </si>
  <si>
    <t>1.</t>
  </si>
  <si>
    <t>2.</t>
  </si>
  <si>
    <t>3.</t>
  </si>
  <si>
    <t>4.</t>
  </si>
  <si>
    <t>5.</t>
  </si>
  <si>
    <t>6.</t>
  </si>
  <si>
    <t>Especie</t>
  </si>
  <si>
    <t>Sistema Ibérico</t>
  </si>
  <si>
    <t>Norte España</t>
  </si>
  <si>
    <t>Pirineos</t>
  </si>
  <si>
    <t>Prunus avium</t>
  </si>
  <si>
    <t>Quercus rubra</t>
  </si>
  <si>
    <t>Región</t>
  </si>
  <si>
    <t>-</t>
  </si>
  <si>
    <t>FUENTE</t>
  </si>
  <si>
    <t>ASUNCIÓN</t>
  </si>
  <si>
    <t>Eucalyptus rostrata</t>
  </si>
  <si>
    <t>Quercus suber</t>
  </si>
  <si>
    <t>Juniperus thurifera</t>
  </si>
  <si>
    <t>Fraxinus excelsior</t>
  </si>
  <si>
    <t>Pinus pinaster</t>
  </si>
  <si>
    <t>Populus alba</t>
  </si>
  <si>
    <r>
      <t>V20 (m</t>
    </r>
    <r>
      <rPr>
        <vertAlign val="superscript"/>
        <sz val="11"/>
        <color indexed="9"/>
        <rFont val="Calibri"/>
        <family val="2"/>
      </rPr>
      <t>3</t>
    </r>
    <r>
      <rPr>
        <sz val="11"/>
        <color indexed="9"/>
        <rFont val="Calibri"/>
        <family val="2"/>
      </rPr>
      <t>/pie)</t>
    </r>
  </si>
  <si>
    <r>
      <t>V25 (m</t>
    </r>
    <r>
      <rPr>
        <vertAlign val="superscript"/>
        <sz val="11"/>
        <color indexed="9"/>
        <rFont val="Calibri"/>
        <family val="2"/>
      </rPr>
      <t>3</t>
    </r>
    <r>
      <rPr>
        <sz val="11"/>
        <color indexed="9"/>
        <rFont val="Calibri"/>
        <family val="2"/>
      </rPr>
      <t>/pie)</t>
    </r>
  </si>
  <si>
    <r>
      <t>V30 (m</t>
    </r>
    <r>
      <rPr>
        <vertAlign val="superscript"/>
        <sz val="11"/>
        <color indexed="8"/>
        <rFont val="Calibri"/>
        <family val="2"/>
      </rPr>
      <t>3</t>
    </r>
    <r>
      <rPr>
        <sz val="11"/>
        <color theme="1"/>
        <rFont val="Calibri"/>
        <family val="2"/>
        <scheme val="minor"/>
      </rPr>
      <t>/pie)</t>
    </r>
  </si>
  <si>
    <r>
      <t>V40 (m</t>
    </r>
    <r>
      <rPr>
        <vertAlign val="superscript"/>
        <sz val="11"/>
        <color indexed="8"/>
        <rFont val="Calibri"/>
        <family val="2"/>
      </rPr>
      <t>3</t>
    </r>
    <r>
      <rPr>
        <sz val="11"/>
        <color theme="1"/>
        <rFont val="Calibri"/>
        <family val="2"/>
        <scheme val="minor"/>
      </rPr>
      <t>/pie)</t>
    </r>
  </si>
  <si>
    <r>
      <t>V35 (m</t>
    </r>
    <r>
      <rPr>
        <vertAlign val="superscript"/>
        <sz val="11"/>
        <color indexed="8"/>
        <rFont val="Calibri"/>
        <family val="2"/>
      </rPr>
      <t>3</t>
    </r>
    <r>
      <rPr>
        <sz val="11"/>
        <color theme="1"/>
        <rFont val="Calibri"/>
        <family val="2"/>
        <scheme val="minor"/>
      </rPr>
      <t>/pie)</t>
    </r>
  </si>
  <si>
    <r>
      <t>Abs 20 
(t CO</t>
    </r>
    <r>
      <rPr>
        <vertAlign val="subscript"/>
        <sz val="11"/>
        <color indexed="9"/>
        <rFont val="Calibri"/>
        <family val="2"/>
      </rPr>
      <t>2</t>
    </r>
    <r>
      <rPr>
        <sz val="11"/>
        <color indexed="9"/>
        <rFont val="Calibri"/>
        <family val="2"/>
      </rPr>
      <t>/pie)</t>
    </r>
  </si>
  <si>
    <r>
      <t>Abs 25 
(t CO</t>
    </r>
    <r>
      <rPr>
        <vertAlign val="subscript"/>
        <sz val="11"/>
        <color indexed="9"/>
        <rFont val="Calibri"/>
        <family val="2"/>
      </rPr>
      <t>2</t>
    </r>
    <r>
      <rPr>
        <sz val="11"/>
        <color indexed="9"/>
        <rFont val="Calibri"/>
        <family val="2"/>
      </rPr>
      <t>/pie)</t>
    </r>
  </si>
  <si>
    <r>
      <t>Abs 30 
(t CO</t>
    </r>
    <r>
      <rPr>
        <vertAlign val="subscript"/>
        <sz val="11"/>
        <color indexed="8"/>
        <rFont val="Calibri"/>
        <family val="2"/>
      </rPr>
      <t>2</t>
    </r>
    <r>
      <rPr>
        <sz val="11"/>
        <color theme="1"/>
        <rFont val="Calibri"/>
        <family val="2"/>
        <scheme val="minor"/>
      </rPr>
      <t>/pie)</t>
    </r>
  </si>
  <si>
    <r>
      <t>Abs 35 
(t CO</t>
    </r>
    <r>
      <rPr>
        <vertAlign val="subscript"/>
        <sz val="11"/>
        <color indexed="8"/>
        <rFont val="Calibri"/>
        <family val="2"/>
      </rPr>
      <t>2</t>
    </r>
    <r>
      <rPr>
        <sz val="11"/>
        <color theme="1"/>
        <rFont val="Calibri"/>
        <family val="2"/>
        <scheme val="minor"/>
      </rPr>
      <t xml:space="preserve">/pie) </t>
    </r>
  </si>
  <si>
    <r>
      <t>Abs 40 
(t CO</t>
    </r>
    <r>
      <rPr>
        <vertAlign val="subscript"/>
        <sz val="11"/>
        <color indexed="8"/>
        <rFont val="Calibri"/>
        <family val="2"/>
      </rPr>
      <t>2</t>
    </r>
    <r>
      <rPr>
        <sz val="11"/>
        <color theme="1"/>
        <rFont val="Calibri"/>
        <family val="2"/>
        <scheme val="minor"/>
      </rPr>
      <t>/pie)</t>
    </r>
  </si>
  <si>
    <t>Para edades 20 y 25 se ha considerado crecimiento lineal.</t>
  </si>
  <si>
    <t>Sin ajustes (datos de la tabla)</t>
  </si>
  <si>
    <t>Para la edad 40 se ha utilizado una ecuación de segundo grado.</t>
  </si>
  <si>
    <t>Para edades 25 y 35 se ha utilizado una ecuación de tercer grado.</t>
  </si>
  <si>
    <t>Para edades 30 y 40 se ha utilizado una ecuación de tercer grado.</t>
  </si>
  <si>
    <t>Para edades 25, 35 y 40 se ha utilizado una ecuación de tercer grado.</t>
  </si>
  <si>
    <t>Para edades 20, 25 y 35 se ha utilizado una ecuación de tercer grado.</t>
  </si>
  <si>
    <t>Para edades 20, 25 y 35 se ha considerado crecimiento lineal.</t>
  </si>
  <si>
    <t>Se escoge la mejor calidad de entre las existentes para cada especie y región.
Para las edades para las que no existe dato, se utiliza ecuación polinómica o lineal según el caso.</t>
  </si>
  <si>
    <t>Tabla 7</t>
  </si>
  <si>
    <t>Para edades 20, 25, 30, 35 y 40 se ha considerado crecimiento lineal.</t>
  </si>
  <si>
    <t>Edad mínima</t>
  </si>
  <si>
    <t>Edad máxima</t>
  </si>
  <si>
    <t>R</t>
  </si>
  <si>
    <r>
      <t xml:space="preserve">Asimilado al </t>
    </r>
    <r>
      <rPr>
        <i/>
        <sz val="11"/>
        <color indexed="8"/>
        <rFont val="Calibri"/>
        <family val="2"/>
      </rPr>
      <t>Eucalyptus rostrata</t>
    </r>
  </si>
  <si>
    <t>Para edades 20, 25, 30 y 35 se ha considerado crecimiento lineal.</t>
  </si>
  <si>
    <t>Pinus pinaster (Resto)</t>
  </si>
  <si>
    <r>
      <t xml:space="preserve">Pinus pinaster </t>
    </r>
    <r>
      <rPr>
        <sz val="8"/>
        <color indexed="60"/>
        <rFont val="Arial"/>
        <family val="2"/>
      </rPr>
      <t>(Norte)</t>
    </r>
  </si>
  <si>
    <t>Para edades 20, 25, 30 y 35 se ha utilizado una ecuación de tercer grado.</t>
  </si>
  <si>
    <t>Zona interior (ssp. atlantica)</t>
  </si>
  <si>
    <t>Zona costera (ssp. atlantica)</t>
  </si>
  <si>
    <t>Sistema Central (ssp. mesogeensis)</t>
  </si>
  <si>
    <t>Acer spp.</t>
  </si>
  <si>
    <t>d (cm)</t>
  </si>
  <si>
    <t>h (m)</t>
  </si>
  <si>
    <t>Z</t>
  </si>
  <si>
    <r>
      <t>W</t>
    </r>
    <r>
      <rPr>
        <b/>
        <vertAlign val="subscript"/>
        <sz val="10"/>
        <rFont val="Arial"/>
        <family val="2"/>
      </rPr>
      <t>s</t>
    </r>
    <r>
      <rPr>
        <b/>
        <sz val="10"/>
        <rFont val="Arial"/>
        <family val="2"/>
      </rPr>
      <t xml:space="preserve"> (Kg)</t>
    </r>
  </si>
  <si>
    <r>
      <t>W</t>
    </r>
    <r>
      <rPr>
        <b/>
        <vertAlign val="subscript"/>
        <sz val="10"/>
        <rFont val="Arial"/>
        <family val="2"/>
      </rPr>
      <t>c</t>
    </r>
    <r>
      <rPr>
        <b/>
        <sz val="10"/>
        <rFont val="Arial"/>
        <family val="2"/>
      </rPr>
      <t xml:space="preserve"> (Kg)</t>
    </r>
  </si>
  <si>
    <r>
      <t>W</t>
    </r>
    <r>
      <rPr>
        <b/>
        <vertAlign val="subscript"/>
        <sz val="10"/>
        <rFont val="Arial"/>
        <family val="2"/>
      </rPr>
      <t>b7</t>
    </r>
    <r>
      <rPr>
        <b/>
        <sz val="10"/>
        <rFont val="Arial"/>
        <family val="2"/>
      </rPr>
      <t xml:space="preserve"> (Kg)</t>
    </r>
  </si>
  <si>
    <r>
      <t>W</t>
    </r>
    <r>
      <rPr>
        <b/>
        <vertAlign val="subscript"/>
        <sz val="10"/>
        <rFont val="Arial"/>
        <family val="2"/>
      </rPr>
      <t>b2-7</t>
    </r>
    <r>
      <rPr>
        <b/>
        <sz val="10"/>
        <rFont val="Arial"/>
        <family val="2"/>
      </rPr>
      <t xml:space="preserve"> (Kg)</t>
    </r>
  </si>
  <si>
    <r>
      <t>W</t>
    </r>
    <r>
      <rPr>
        <b/>
        <vertAlign val="subscript"/>
        <sz val="10"/>
        <rFont val="Arial"/>
        <family val="2"/>
      </rPr>
      <t>b0,5-2</t>
    </r>
    <r>
      <rPr>
        <b/>
        <sz val="10"/>
        <rFont val="Arial"/>
        <family val="2"/>
      </rPr>
      <t xml:space="preserve"> (Kg)</t>
    </r>
  </si>
  <si>
    <r>
      <t>W</t>
    </r>
    <r>
      <rPr>
        <b/>
        <vertAlign val="subscript"/>
        <sz val="10"/>
        <rFont val="Arial"/>
        <family val="2"/>
      </rPr>
      <t>t</t>
    </r>
    <r>
      <rPr>
        <b/>
        <sz val="10"/>
        <rFont val="Arial"/>
        <family val="2"/>
      </rPr>
      <t xml:space="preserve"> (Kg)</t>
    </r>
  </si>
  <si>
    <r>
      <t>W</t>
    </r>
    <r>
      <rPr>
        <b/>
        <vertAlign val="subscript"/>
        <sz val="10"/>
        <rFont val="Arial"/>
        <family val="2"/>
      </rPr>
      <t xml:space="preserve">h </t>
    </r>
    <r>
      <rPr>
        <b/>
        <sz val="10"/>
        <rFont val="Arial"/>
        <family val="2"/>
      </rPr>
      <t>(Kg)</t>
    </r>
  </si>
  <si>
    <r>
      <t>W</t>
    </r>
    <r>
      <rPr>
        <b/>
        <vertAlign val="subscript"/>
        <sz val="10"/>
        <rFont val="Arial"/>
        <family val="2"/>
      </rPr>
      <t xml:space="preserve">db </t>
    </r>
    <r>
      <rPr>
        <b/>
        <sz val="10"/>
        <rFont val="Arial"/>
        <family val="2"/>
      </rPr>
      <t>(Kg)</t>
    </r>
  </si>
  <si>
    <t>Wtotal aérea (Kg)</t>
  </si>
  <si>
    <r>
      <t>W</t>
    </r>
    <r>
      <rPr>
        <b/>
        <vertAlign val="subscript"/>
        <sz val="10"/>
        <rFont val="Arial"/>
        <family val="2"/>
      </rPr>
      <t>r</t>
    </r>
    <r>
      <rPr>
        <b/>
        <sz val="10"/>
        <rFont val="Arial"/>
        <family val="2"/>
      </rPr>
      <t xml:space="preserve"> (Kg)</t>
    </r>
  </si>
  <si>
    <t>W total
(kg)</t>
  </si>
  <si>
    <t>Betula ssp.</t>
  </si>
  <si>
    <t>Ceratonia siliqua</t>
  </si>
  <si>
    <t>Eucalyptus nitens</t>
  </si>
  <si>
    <t>Fagus sylvatica (cepas)</t>
  </si>
  <si>
    <t>Fagus sylvatica (monte alto)</t>
  </si>
  <si>
    <t>Fraxinus angustifolia</t>
  </si>
  <si>
    <t xml:space="preserve">Olea europaea </t>
  </si>
  <si>
    <t>Pinus pinaster (atlántico)</t>
  </si>
  <si>
    <t>Populus x euramericana</t>
  </si>
  <si>
    <t>Quercus canariensis</t>
  </si>
  <si>
    <t>Fracción de biomasa (kg) del tallo</t>
  </si>
  <si>
    <t>Abies pinsapo</t>
  </si>
  <si>
    <t>Fracción de biomasa (kg) de ramas gruesas (diámetro mayor de 7 cm)</t>
  </si>
  <si>
    <t>Fracción de biomasa (kg) de ramas medianas (diámetro entre 2 y 7 cm)</t>
  </si>
  <si>
    <t>Fracción de biomasa (kg) de ramas finas (diámetro inferior a 2 cm) con acículas</t>
  </si>
  <si>
    <t>Olea europaea</t>
  </si>
  <si>
    <t>Populus x euroamericana</t>
  </si>
  <si>
    <t>Fracción de biomasa (kg) bajo el suelo (raíces)</t>
  </si>
  <si>
    <r>
      <t>C total
(t CO</t>
    </r>
    <r>
      <rPr>
        <b/>
        <vertAlign val="subscript"/>
        <sz val="10"/>
        <rFont val="Arial"/>
        <family val="2"/>
      </rPr>
      <t>2</t>
    </r>
    <r>
      <rPr>
        <b/>
        <sz val="10"/>
        <rFont val="Arial"/>
        <family val="2"/>
      </rPr>
      <t>)</t>
    </r>
  </si>
  <si>
    <t>Edad 
(años)</t>
  </si>
  <si>
    <t>Diámetro cuadrático medio (cm)</t>
  </si>
  <si>
    <t>Altura dominante
(m)</t>
  </si>
  <si>
    <t xml:space="preserve">Pinus pinaster ssp. mesogeensis </t>
  </si>
  <si>
    <t>Pseudotsuga menziensii</t>
  </si>
  <si>
    <t>Betula pendula</t>
  </si>
  <si>
    <t>Quercus robur y Quercus petraea</t>
  </si>
  <si>
    <t>CD
(cm)</t>
  </si>
  <si>
    <t>Edad
(años)</t>
  </si>
  <si>
    <r>
      <t>Vol unit
(m</t>
    </r>
    <r>
      <rPr>
        <b/>
        <vertAlign val="superscript"/>
        <sz val="11"/>
        <color indexed="8"/>
        <rFont val="Calibri"/>
        <family val="2"/>
      </rPr>
      <t>3</t>
    </r>
    <r>
      <rPr>
        <b/>
        <sz val="11"/>
        <color indexed="8"/>
        <rFont val="Calibri"/>
        <family val="2"/>
      </rPr>
      <t>/pie)</t>
    </r>
  </si>
  <si>
    <t>BEFXD</t>
  </si>
  <si>
    <r>
      <t>Abs unit
 (t CO</t>
    </r>
    <r>
      <rPr>
        <b/>
        <vertAlign val="subscript"/>
        <sz val="11"/>
        <color indexed="8"/>
        <rFont val="Calibri"/>
        <family val="2"/>
      </rPr>
      <t>2</t>
    </r>
    <r>
      <rPr>
        <b/>
        <sz val="11"/>
        <color indexed="8"/>
        <rFont val="Calibri"/>
        <family val="2"/>
      </rPr>
      <t>/pie)</t>
    </r>
  </si>
  <si>
    <t xml:space="preserve">Arbutus unedo </t>
  </si>
  <si>
    <t>Eucalyptus gomphocephalus</t>
  </si>
  <si>
    <t>Juniperus oxycedrus, J. communis</t>
  </si>
  <si>
    <t>Juniperus phoenicea</t>
  </si>
  <si>
    <t>Larix spp.</t>
  </si>
  <si>
    <t>Persea indica</t>
  </si>
  <si>
    <t>Pinus pinaster resinado</t>
  </si>
  <si>
    <t>Populus x canadensis</t>
  </si>
  <si>
    <t>Pseudotsuga menziesii</t>
  </si>
  <si>
    <t>Salix spp.</t>
  </si>
  <si>
    <t>Tamarix spp.</t>
  </si>
  <si>
    <t>Tabla 201 (media España)</t>
  </si>
  <si>
    <t>España (media de las provincias en que se encuentra)</t>
  </si>
  <si>
    <t xml:space="preserve">Pinus pinaster </t>
  </si>
  <si>
    <t>Pinus resinado</t>
  </si>
  <si>
    <t>Tabla 201 (media de las provincias)</t>
  </si>
  <si>
    <t>Media España (árboles tipo)</t>
  </si>
  <si>
    <t>Se considera crecimiento lineal para los casos en los que no existe dato para una edad determinada</t>
  </si>
  <si>
    <t>Asimilación de especies:</t>
  </si>
  <si>
    <t>Crecimientos:</t>
  </si>
  <si>
    <t>BEFxD y R</t>
  </si>
  <si>
    <r>
      <t>Absorciones unitarias 
(t CO</t>
    </r>
    <r>
      <rPr>
        <b/>
        <vertAlign val="subscript"/>
        <sz val="11"/>
        <color indexed="8"/>
        <rFont val="Calibri"/>
        <family val="2"/>
      </rPr>
      <t>2</t>
    </r>
    <r>
      <rPr>
        <b/>
        <sz val="11"/>
        <color indexed="8"/>
        <rFont val="Calibri"/>
        <family val="2"/>
      </rPr>
      <t>/pie)</t>
    </r>
  </si>
  <si>
    <t>DATOS TABLAS DE PRODUCCIÓN</t>
  </si>
  <si>
    <r>
      <t>t CO</t>
    </r>
    <r>
      <rPr>
        <b/>
        <vertAlign val="subscript"/>
        <sz val="10"/>
        <rFont val="Arial"/>
        <family val="2"/>
      </rPr>
      <t>2</t>
    </r>
    <r>
      <rPr>
        <b/>
        <sz val="10"/>
        <rFont val="Arial"/>
        <family val="2"/>
      </rPr>
      <t xml:space="preserve"> total
(t CO</t>
    </r>
    <r>
      <rPr>
        <b/>
        <vertAlign val="subscript"/>
        <sz val="10"/>
        <rFont val="Arial"/>
        <family val="2"/>
      </rPr>
      <t>2</t>
    </r>
    <r>
      <rPr>
        <b/>
        <sz val="10"/>
        <rFont val="Arial"/>
        <family val="2"/>
      </rPr>
      <t>)</t>
    </r>
  </si>
  <si>
    <r>
      <t>W</t>
    </r>
    <r>
      <rPr>
        <b/>
        <vertAlign val="subscript"/>
        <sz val="10"/>
        <rFont val="Arial"/>
        <family val="2"/>
      </rPr>
      <t>b2+n</t>
    </r>
    <r>
      <rPr>
        <b/>
        <sz val="10"/>
        <rFont val="Arial"/>
        <family val="2"/>
      </rPr>
      <t xml:space="preserve"> (Kg)</t>
    </r>
  </si>
  <si>
    <t>FUENTES</t>
  </si>
  <si>
    <t>Gregorio Montero, Ricardo Ruiz-Peinado, Marta Muñoz, 2014, Modelos de biomasa para estimar los stocks de carbono para coníferas y frondosas en España</t>
  </si>
  <si>
    <r>
      <t>“</t>
    </r>
    <r>
      <rPr>
        <i/>
        <sz val="12"/>
        <color indexed="8"/>
        <rFont val="Calibri"/>
        <family val="2"/>
      </rPr>
      <t>A management tool for estimating bioenergy production and carbon sequestration in Eucalyptus globulus and Eucalyptus nitens grown as short rotation woody crops in north-west Spain</t>
    </r>
    <r>
      <rPr>
        <sz val="12"/>
        <color indexed="8"/>
        <rFont val="Calibri"/>
        <family val="2"/>
      </rPr>
      <t>”. Articulo de Biomass and bioenergy 35 (2011).</t>
    </r>
  </si>
  <si>
    <r>
      <t xml:space="preserve">Modelos dinámicos de crecimiento para rodales regulares de </t>
    </r>
    <r>
      <rPr>
        <i/>
        <sz val="12"/>
        <color indexed="8"/>
        <rFont val="Calibri"/>
        <family val="2"/>
      </rPr>
      <t>Betula pubescens Ehrh</t>
    </r>
    <r>
      <rPr>
        <sz val="12"/>
        <color indexed="8"/>
        <rFont val="Calibri"/>
        <family val="2"/>
      </rPr>
      <t xml:space="preserve">., y de </t>
    </r>
    <r>
      <rPr>
        <i/>
        <sz val="12"/>
        <color indexed="8"/>
        <rFont val="Calibri"/>
        <family val="2"/>
      </rPr>
      <t>Quercus robur L</t>
    </r>
    <r>
      <rPr>
        <sz val="12"/>
        <color indexed="8"/>
        <rFont val="Calibri"/>
        <family val="2"/>
      </rPr>
      <t>. en Galicia” (Esteban Gómez-García). (número 5 de referencia)</t>
    </r>
  </si>
  <si>
    <t>En cuanto a las ecuaciones de raíces de los eucaliptos, hay que ir a las que se establecen en el libro del INIA (referencia 0), en la que consideran por módulos diamétricos y se obtienen teniendo en cuenta diversas edades de recepes.</t>
  </si>
  <si>
    <r>
      <t>“</t>
    </r>
    <r>
      <rPr>
        <i/>
        <sz val="12"/>
        <color indexed="8"/>
        <rFont val="Calibri"/>
        <family val="2"/>
      </rPr>
      <t>Temporal variations and distribution of carbon stocks in aboveground biomass of radiata pine and maritime pine pure stands under different silvicultural alternatives</t>
    </r>
    <r>
      <rPr>
        <sz val="12"/>
        <color indexed="8"/>
        <rFont val="Calibri"/>
        <family val="2"/>
      </rPr>
      <t>”. Facultad de Forestales, Universidad politécnica de Santiago de Compostela. (3)</t>
    </r>
  </si>
  <si>
    <r>
      <t xml:space="preserve">“Carbon and nutrient stocks in mature </t>
    </r>
    <r>
      <rPr>
        <i/>
        <sz val="12"/>
        <color indexed="8"/>
        <rFont val="Times New Roman"/>
        <family val="1"/>
      </rPr>
      <t>Quercus robur</t>
    </r>
    <r>
      <rPr>
        <sz val="12"/>
        <color indexed="8"/>
        <rFont val="Times New Roman"/>
        <family val="1"/>
      </rPr>
      <t xml:space="preserve"> L. stands in NW Spain. Facultad de Forestales, Universidad politécnica de Santiago de Compostela. (4)</t>
    </r>
  </si>
  <si>
    <r>
      <t>Los valores modulares de W</t>
    </r>
    <r>
      <rPr>
        <vertAlign val="subscript"/>
        <sz val="12"/>
        <color indexed="8"/>
        <rFont val="Calibri"/>
        <family val="2"/>
      </rPr>
      <t>r</t>
    </r>
    <r>
      <rPr>
        <sz val="12"/>
        <color indexed="8"/>
        <rFont val="Calibri"/>
        <family val="2"/>
      </rPr>
      <t xml:space="preserve"> se han tomado los de la especie </t>
    </r>
    <r>
      <rPr>
        <i/>
        <sz val="12"/>
        <color indexed="8"/>
        <rFont val="Calibri"/>
        <family val="2"/>
      </rPr>
      <t>Eucalyptus spp</t>
    </r>
    <r>
      <rPr>
        <sz val="12"/>
        <color indexed="8"/>
        <rFont val="Calibri"/>
        <family val="2"/>
      </rPr>
      <t xml:space="preserve"> de la publicación: “Producción de biomasa y fijación de CO</t>
    </r>
    <r>
      <rPr>
        <vertAlign val="subscript"/>
        <sz val="12"/>
        <color indexed="8"/>
        <rFont val="Calibri"/>
        <family val="2"/>
      </rPr>
      <t xml:space="preserve">2 </t>
    </r>
    <r>
      <rPr>
        <sz val="12"/>
        <color indexed="8"/>
        <rFont val="Calibri"/>
        <family val="2"/>
      </rPr>
      <t>por los bosques españoles” de Gregorio Montero, Ricardo Ruiz-Peinado y Marta Muñoz.</t>
    </r>
  </si>
  <si>
    <r>
      <t>Fuente: “</t>
    </r>
    <r>
      <rPr>
        <i/>
        <sz val="12"/>
        <color indexed="8"/>
        <rFont val="Calibri"/>
        <family val="2"/>
      </rPr>
      <t>A management tool for estimating bioenergy production and carbon sequestration in Eucalyptus globulus and Eucalyptus nitens grown as short rotation woody crops in north-west Spain”. Articulo de Biomass and bioenergy 35 (2011). (número 5 de referencia)</t>
    </r>
  </si>
  <si>
    <t>Especies para las que tenemos datos de edad, altura y diámetro en las tablas de producción</t>
  </si>
  <si>
    <t>Pinus pinaster ssp. Mesogeensis (mediterránea)</t>
  </si>
  <si>
    <t>EDAD</t>
  </si>
  <si>
    <t>RESULTADOS MONTERO, 2014</t>
  </si>
  <si>
    <t>DIFERENCIA 
PORCENTUAL</t>
  </si>
  <si>
    <t>En más de un 64 % de los casos, los cálculos exante (a partir de los colúmenes de las tablas de producción y las fórmulas del IPCC), son inferiores a las estimaciones según Montero.</t>
  </si>
  <si>
    <t>Holanda</t>
  </si>
  <si>
    <t>Argelia</t>
  </si>
  <si>
    <t>Pirineos (tablas produccion)</t>
  </si>
  <si>
    <t>Holanda (tablas producción)</t>
  </si>
  <si>
    <t>Holanda (tablas produccion)</t>
  </si>
  <si>
    <t>nº PIES</t>
  </si>
  <si>
    <t>Superficie
(ha)</t>
  </si>
  <si>
    <r>
      <t>Absorciones absolutas (t CO</t>
    </r>
    <r>
      <rPr>
        <b/>
        <vertAlign val="subscript"/>
        <sz val="11"/>
        <color indexed="8"/>
        <rFont val="Calibri"/>
        <family val="2"/>
      </rPr>
      <t>2</t>
    </r>
    <r>
      <rPr>
        <b/>
        <sz val="11"/>
        <color indexed="8"/>
        <rFont val="Calibri"/>
        <family val="2"/>
      </rPr>
      <t>)</t>
    </r>
  </si>
  <si>
    <t xml:space="preserve">Abs 20 </t>
  </si>
  <si>
    <t xml:space="preserve">Abs 25 </t>
  </si>
  <si>
    <t xml:space="preserve">Abs 30 </t>
  </si>
  <si>
    <t xml:space="preserve">Abs 35 </t>
  </si>
  <si>
    <t xml:space="preserve">Abs 40 </t>
  </si>
  <si>
    <t>Datos a introducir</t>
  </si>
  <si>
    <t>RESULTADOS</t>
  </si>
  <si>
    <r>
      <t>Absorciones relativas (t CO</t>
    </r>
    <r>
      <rPr>
        <b/>
        <vertAlign val="subscript"/>
        <sz val="11"/>
        <color indexed="8"/>
        <rFont val="Calibri"/>
        <family val="2"/>
      </rPr>
      <t>2</t>
    </r>
    <r>
      <rPr>
        <b/>
        <sz val="11"/>
        <color indexed="8"/>
        <rFont val="Calibri"/>
        <family val="2"/>
      </rPr>
      <t>/ha)</t>
    </r>
  </si>
  <si>
    <t>Para crecimiento</t>
  </si>
  <si>
    <t>Para BEFxD y R</t>
  </si>
  <si>
    <t>Especie conocida</t>
  </si>
  <si>
    <t>Especie asimilada</t>
  </si>
  <si>
    <t>Árboles de ribera</t>
  </si>
  <si>
    <t>Pseudotsuga menziessii</t>
  </si>
  <si>
    <t>Acer campestre</t>
  </si>
  <si>
    <t xml:space="preserve">Acacia spp. </t>
  </si>
  <si>
    <t>Sabinas</t>
  </si>
  <si>
    <t>Populus spp.</t>
  </si>
  <si>
    <t>Populus nigra, P. x canadensis</t>
  </si>
  <si>
    <t xml:space="preserve">Juniperus spp. </t>
  </si>
  <si>
    <t>Juniperus spp.</t>
  </si>
  <si>
    <t>Otras frondosas de pequeño porte</t>
  </si>
  <si>
    <t>Juniperus oxycedrus</t>
  </si>
  <si>
    <t>Otras frondosas de gran porte</t>
  </si>
  <si>
    <t>Eucalyptus spp.</t>
  </si>
  <si>
    <t>Otras frondosas de pequeño porte*</t>
  </si>
  <si>
    <t>Otras frondosas de gran porte**</t>
  </si>
  <si>
    <t>Erica spp.</t>
  </si>
  <si>
    <t>Quercus pubescens (Q.humilis)</t>
  </si>
  <si>
    <t>Coníferas de crecimiento rápido</t>
  </si>
  <si>
    <t>Ilex spp.</t>
  </si>
  <si>
    <t>Populus nigra, Populus x canadensis</t>
  </si>
  <si>
    <t xml:space="preserve">Betula spp. </t>
  </si>
  <si>
    <t>Otras frondosas y laurisilvas</t>
  </si>
  <si>
    <t>Otras laurisilvas</t>
  </si>
  <si>
    <t>Juniperus turbinata</t>
  </si>
  <si>
    <t>Phoenix canariensis</t>
  </si>
  <si>
    <t>Pinus pinaster sin resinar</t>
  </si>
  <si>
    <r>
      <t xml:space="preserve">*Comprende, de más a menos importancia: </t>
    </r>
    <r>
      <rPr>
        <i/>
        <sz val="11"/>
        <color indexed="8"/>
        <rFont val="Calibri"/>
        <family val="2"/>
      </rPr>
      <t>Prunus spp., P. avium, Arbutus unedo, Crataegus monogyna, Ficus carica, otras frondosas, Sambucus nigra, Frangula alnus, Malus sylvestris, Pyrus spp., Pistacia terebinthus</t>
    </r>
    <r>
      <rPr>
        <sz val="11"/>
        <color theme="1"/>
        <rFont val="Calibri"/>
        <family val="2"/>
        <scheme val="minor"/>
      </rPr>
      <t xml:space="preserve">   
</t>
    </r>
  </si>
  <si>
    <r>
      <t xml:space="preserve">**Incluye de mayor a menor presencia: </t>
    </r>
    <r>
      <rPr>
        <i/>
        <sz val="11"/>
        <color indexed="8"/>
        <rFont val="Calibri"/>
        <family val="2"/>
      </rPr>
      <t>Ulmus minor, Juglans regia, Olea europaea, Betula spp., Sorbus aucuparia</t>
    </r>
  </si>
  <si>
    <t>Fuentes:</t>
  </si>
  <si>
    <t>Pinus nigra Sistema Ibérico</t>
  </si>
  <si>
    <t>Pinus pinaster ssp. mesogeensis Sistema Central</t>
  </si>
  <si>
    <t>Pinus sylvestris Pirineos</t>
  </si>
  <si>
    <t>Pinus sylvestris Sistema Central</t>
  </si>
  <si>
    <t>Localización</t>
  </si>
  <si>
    <r>
      <t>Absorciones unitarias 
(t CO</t>
    </r>
    <r>
      <rPr>
        <b/>
        <vertAlign val="subscript"/>
        <sz val="11"/>
        <color indexed="9"/>
        <rFont val="Calibri"/>
        <family val="2"/>
      </rPr>
      <t>2</t>
    </r>
    <r>
      <rPr>
        <b/>
        <sz val="11"/>
        <color indexed="9"/>
        <rFont val="Calibri"/>
        <family val="2"/>
      </rPr>
      <t>/pie)</t>
    </r>
  </si>
  <si>
    <r>
      <t>Absorciones unitarias 
(t CO</t>
    </r>
    <r>
      <rPr>
        <b/>
        <vertAlign val="subscript"/>
        <sz val="11"/>
        <rFont val="Calibri"/>
        <family val="2"/>
      </rPr>
      <t>2</t>
    </r>
    <r>
      <rPr>
        <b/>
        <sz val="11"/>
        <rFont val="Calibri"/>
        <family val="2"/>
      </rPr>
      <t>/pie)</t>
    </r>
  </si>
  <si>
    <t>España</t>
  </si>
  <si>
    <t>Pinus pinaster ssp. atlantica</t>
  </si>
  <si>
    <t>Zona interior</t>
  </si>
  <si>
    <t>Zona costera</t>
  </si>
  <si>
    <t>Pinus pinaster ssp. mesogeensis</t>
  </si>
  <si>
    <t>Sistema Central</t>
  </si>
  <si>
    <r>
      <t xml:space="preserve">Pinus pinaster </t>
    </r>
    <r>
      <rPr>
        <sz val="8"/>
        <color indexed="60"/>
        <rFont val="Arial"/>
        <family val="2"/>
      </rPr>
      <t>(Sistema central)</t>
    </r>
  </si>
  <si>
    <t>Pinus pinaster Sistema Central</t>
  </si>
  <si>
    <r>
      <t xml:space="preserve">Pinus pinaster </t>
    </r>
    <r>
      <rPr>
        <sz val="8"/>
        <color indexed="60"/>
        <rFont val="Arial"/>
        <family val="2"/>
      </rPr>
      <t>(Sistema Central)</t>
    </r>
  </si>
  <si>
    <t>Pinus sylvestris Sistema Ibérico</t>
  </si>
  <si>
    <t>Juglans regia</t>
  </si>
  <si>
    <t xml:space="preserve">Gregorio Montero, Ricardo Ruiz-Peinado, Miren Muñoz, 2005, Producción de biomasa y fijación de CO2 por los bosques españoles y Ajustes parabólicos D-t del IFN1 que están disponibles en las publicaciones “Las Coníferas en el primer Inventario Forestal Nacional” y “Las Frondosas en el primer Inventario Forestal Nacional”. </t>
  </si>
  <si>
    <t>Gregorio Montero, Ricardo Ruiz-Peinado, Miren Muñoz, 2014, Modelos de biomasa para estimar los stocks de carbono para coníferas y frondosas en España. ESTIMACIONES EXPOST</t>
  </si>
  <si>
    <t xml:space="preserve"> Lista Especie</t>
  </si>
  <si>
    <r>
      <t>Abs 20 
(t CO</t>
    </r>
    <r>
      <rPr>
        <vertAlign val="subscript"/>
        <sz val="11"/>
        <rFont val="Arial Narrow"/>
        <family val="2"/>
      </rPr>
      <t>2</t>
    </r>
    <r>
      <rPr>
        <sz val="11"/>
        <rFont val="Arial Narrow"/>
        <family val="2"/>
      </rPr>
      <t>/pie)</t>
    </r>
  </si>
  <si>
    <r>
      <t>Abs 25 
(t CO</t>
    </r>
    <r>
      <rPr>
        <vertAlign val="subscript"/>
        <sz val="11"/>
        <rFont val="Arial Narrow"/>
        <family val="2"/>
      </rPr>
      <t>2</t>
    </r>
    <r>
      <rPr>
        <sz val="11"/>
        <rFont val="Arial Narrow"/>
        <family val="2"/>
      </rPr>
      <t>/pie)</t>
    </r>
  </si>
  <si>
    <r>
      <t>Abs 30 
(t CO</t>
    </r>
    <r>
      <rPr>
        <vertAlign val="subscript"/>
        <sz val="11"/>
        <rFont val="Arial Narrow"/>
        <family val="2"/>
      </rPr>
      <t>2</t>
    </r>
    <r>
      <rPr>
        <sz val="11"/>
        <rFont val="Arial Narrow"/>
        <family val="2"/>
      </rPr>
      <t>/pie)</t>
    </r>
  </si>
  <si>
    <r>
      <t>Abs 35 
(t CO</t>
    </r>
    <r>
      <rPr>
        <vertAlign val="subscript"/>
        <sz val="11"/>
        <rFont val="Arial Narrow"/>
        <family val="2"/>
      </rPr>
      <t>2</t>
    </r>
    <r>
      <rPr>
        <sz val="11"/>
        <rFont val="Arial Narrow"/>
        <family val="2"/>
      </rPr>
      <t xml:space="preserve">/pie) </t>
    </r>
  </si>
  <si>
    <r>
      <t>Abs 40 
(t CO</t>
    </r>
    <r>
      <rPr>
        <vertAlign val="subscript"/>
        <sz val="11"/>
        <rFont val="Arial Narrow"/>
        <family val="2"/>
      </rPr>
      <t>2</t>
    </r>
    <r>
      <rPr>
        <sz val="11"/>
        <rFont val="Arial Narrow"/>
        <family val="2"/>
      </rPr>
      <t>/pie)</t>
    </r>
  </si>
  <si>
    <r>
      <t>Absorciones unitarias 
(t CO</t>
    </r>
    <r>
      <rPr>
        <b/>
        <vertAlign val="subscript"/>
        <sz val="11"/>
        <color indexed="9"/>
        <rFont val="Arial Narrow"/>
        <family val="2"/>
      </rPr>
      <t>2</t>
    </r>
    <r>
      <rPr>
        <b/>
        <sz val="11"/>
        <color indexed="9"/>
        <rFont val="Arial Narrow"/>
        <family val="2"/>
      </rPr>
      <t>/pie)</t>
    </r>
  </si>
  <si>
    <r>
      <t>Absorciones por especie 
 (t CO</t>
    </r>
    <r>
      <rPr>
        <b/>
        <vertAlign val="subscript"/>
        <sz val="11"/>
        <color indexed="9"/>
        <rFont val="Arial Narrow"/>
        <family val="2"/>
      </rPr>
      <t>2</t>
    </r>
    <r>
      <rPr>
        <b/>
        <sz val="11"/>
        <color indexed="9"/>
        <rFont val="Arial Narrow"/>
        <family val="2"/>
      </rPr>
      <t>)</t>
    </r>
  </si>
  <si>
    <t>ha</t>
  </si>
  <si>
    <t>1. DATOS GENERALES DEL PROYECTO</t>
  </si>
  <si>
    <t>20-25</t>
  </si>
  <si>
    <t>25-30</t>
  </si>
  <si>
    <t>30-35</t>
  </si>
  <si>
    <t>35-40</t>
  </si>
  <si>
    <t>Promotor del proyecto</t>
  </si>
  <si>
    <t>Provincia</t>
  </si>
  <si>
    <t>MENOR 20</t>
  </si>
  <si>
    <t>mayor 40</t>
  </si>
  <si>
    <t>2. RESULTADOS</t>
  </si>
  <si>
    <t>nº pies</t>
  </si>
  <si>
    <t>Absorciones calculadas</t>
  </si>
  <si>
    <t xml:space="preserve">Absorciones calculadas </t>
  </si>
  <si>
    <t>20 años</t>
  </si>
  <si>
    <t>25 años</t>
  </si>
  <si>
    <t>30 años</t>
  </si>
  <si>
    <t>35 años</t>
  </si>
  <si>
    <t>40 años</t>
  </si>
  <si>
    <r>
      <t>Tabla 201 del Inventario Forestal Nacional 3 y Anexo 2 de la publicación “</t>
    </r>
    <r>
      <rPr>
        <i/>
        <sz val="11"/>
        <color indexed="8"/>
        <rFont val="Arial Narrow"/>
        <family val="2"/>
      </rPr>
      <t>Las Frondosas en el primer Inventario Forestal Nacional</t>
    </r>
    <r>
      <rPr>
        <sz val="11"/>
        <color indexed="8"/>
        <rFont val="Arial Narrow"/>
        <family val="2"/>
      </rPr>
      <t xml:space="preserve">”. </t>
    </r>
  </si>
  <si>
    <r>
      <t xml:space="preserve">Tabla 201 del Inventario Forestal Nacional 3 y Anexo 2 de la publicación </t>
    </r>
    <r>
      <rPr>
        <i/>
        <sz val="11"/>
        <color indexed="8"/>
        <rFont val="Arial Narrow"/>
        <family val="2"/>
      </rPr>
      <t>“Las Coníferas en el primer Inventario Forestal Nacional</t>
    </r>
    <r>
      <rPr>
        <sz val="11"/>
        <color indexed="8"/>
        <rFont val="Arial Narrow"/>
        <family val="2"/>
      </rPr>
      <t>”.</t>
    </r>
  </si>
  <si>
    <r>
      <t>Madrigal Collazo, J.G.</t>
    </r>
    <r>
      <rPr>
        <i/>
        <sz val="11"/>
        <color indexed="8"/>
        <rFont val="Arial Narrow"/>
        <family val="2"/>
      </rPr>
      <t xml:space="preserve"> et al</t>
    </r>
    <r>
      <rPr>
        <sz val="11"/>
        <color indexed="8"/>
        <rFont val="Arial Narrow"/>
        <family val="2"/>
      </rPr>
      <t xml:space="preserve">., Fundación Conde del Valle de Salazar, Madrid, 1999, </t>
    </r>
    <r>
      <rPr>
        <i/>
        <sz val="11"/>
        <color indexed="8"/>
        <rFont val="Arial Narrow"/>
        <family val="2"/>
      </rPr>
      <t>Tablas de producción para los montes españoles</t>
    </r>
    <r>
      <rPr>
        <sz val="11"/>
        <color indexed="8"/>
        <rFont val="Arial Narrow"/>
        <family val="2"/>
      </rPr>
      <t>.</t>
    </r>
  </si>
  <si>
    <r>
      <t>Pinus pinaster ssp. atlantica</t>
    </r>
    <r>
      <rPr>
        <sz val="10"/>
        <rFont val="Arial Narrow"/>
        <family val="2"/>
      </rPr>
      <t xml:space="preserve"> Zona Norte interior</t>
    </r>
  </si>
  <si>
    <r>
      <t>Pinus pinaster ssp. atlantica</t>
    </r>
    <r>
      <rPr>
        <sz val="10"/>
        <rFont val="Arial Narrow"/>
        <family val="2"/>
      </rPr>
      <t xml:space="preserve"> Zona Norte costera</t>
    </r>
  </si>
  <si>
    <r>
      <t xml:space="preserve">Pinus pinaster </t>
    </r>
    <r>
      <rPr>
        <sz val="10"/>
        <rFont val="Arial Narrow"/>
        <family val="2"/>
      </rPr>
      <t>(Resto)</t>
    </r>
  </si>
  <si>
    <t>Quercus pubescens</t>
  </si>
  <si>
    <t>(1)</t>
  </si>
  <si>
    <t>(2)</t>
  </si>
  <si>
    <t>(3)</t>
  </si>
  <si>
    <t>Asimilación</t>
  </si>
  <si>
    <t xml:space="preserve">A. Repoblaciones sin aprovechamiento maderero o de aprovechamiento no intensivo </t>
  </si>
  <si>
    <r>
      <t xml:space="preserve"> t CO</t>
    </r>
    <r>
      <rPr>
        <b/>
        <vertAlign val="subscript"/>
        <sz val="11"/>
        <rFont val="Arial Narrow"/>
        <family val="2"/>
      </rPr>
      <t>2</t>
    </r>
  </si>
  <si>
    <r>
      <t xml:space="preserve"> t CO</t>
    </r>
    <r>
      <rPr>
        <b/>
        <vertAlign val="subscript"/>
        <sz val="11"/>
        <rFont val="Arial Narrow"/>
        <family val="2"/>
      </rPr>
      <t>2</t>
    </r>
    <r>
      <rPr>
        <b/>
        <sz val="11"/>
        <rFont val="Arial Narrow"/>
        <family val="2"/>
      </rPr>
      <t>/ha</t>
    </r>
  </si>
  <si>
    <r>
      <t xml:space="preserve"> t CO</t>
    </r>
    <r>
      <rPr>
        <b/>
        <vertAlign val="subscript"/>
        <sz val="10"/>
        <color indexed="9"/>
        <rFont val="Arial Narrow"/>
        <family val="2"/>
      </rPr>
      <t>2</t>
    </r>
  </si>
  <si>
    <r>
      <t>t CO</t>
    </r>
    <r>
      <rPr>
        <b/>
        <vertAlign val="subscript"/>
        <sz val="10"/>
        <color indexed="9"/>
        <rFont val="Arial Narrow"/>
        <family val="2"/>
      </rPr>
      <t>2</t>
    </r>
  </si>
  <si>
    <r>
      <t>t CO</t>
    </r>
    <r>
      <rPr>
        <b/>
        <vertAlign val="subscript"/>
        <sz val="10"/>
        <color indexed="9"/>
        <rFont val="Arial Narrow"/>
        <family val="2"/>
      </rPr>
      <t>2</t>
    </r>
    <r>
      <rPr>
        <b/>
        <sz val="10"/>
        <color indexed="9"/>
        <rFont val="Arial Narrow"/>
        <family val="2"/>
      </rPr>
      <t>/ha</t>
    </r>
  </si>
  <si>
    <t xml:space="preserve"> </t>
  </si>
  <si>
    <t>Absorciones</t>
  </si>
  <si>
    <r>
      <t>Por especie
(t CO</t>
    </r>
    <r>
      <rPr>
        <b/>
        <vertAlign val="subscript"/>
        <sz val="10"/>
        <color indexed="9"/>
        <rFont val="Arial Narrow"/>
        <family val="2"/>
      </rPr>
      <t>2</t>
    </r>
    <r>
      <rPr>
        <b/>
        <sz val="10"/>
        <color indexed="9"/>
        <rFont val="Arial Narrow"/>
        <family val="2"/>
      </rPr>
      <t>)</t>
    </r>
  </si>
  <si>
    <r>
      <t>Por pie y especie sin turno corto (t CO</t>
    </r>
    <r>
      <rPr>
        <b/>
        <vertAlign val="subscript"/>
        <sz val="10"/>
        <color indexed="9"/>
        <rFont val="Arial Narrow"/>
        <family val="2"/>
      </rPr>
      <t>2</t>
    </r>
    <r>
      <rPr>
        <b/>
        <sz val="10"/>
        <color indexed="9"/>
        <rFont val="Arial Narrow"/>
        <family val="2"/>
      </rPr>
      <t>/pie)</t>
    </r>
  </si>
  <si>
    <r>
      <t>Por pie y especie turno corto (/2) (t CO</t>
    </r>
    <r>
      <rPr>
        <b/>
        <vertAlign val="subscript"/>
        <sz val="10"/>
        <color indexed="9"/>
        <rFont val="Arial Narrow"/>
        <family val="2"/>
      </rPr>
      <t>2</t>
    </r>
    <r>
      <rPr>
        <b/>
        <sz val="10"/>
        <color indexed="9"/>
        <rFont val="Arial Narrow"/>
        <family val="2"/>
      </rPr>
      <t>/pie)</t>
    </r>
  </si>
  <si>
    <t>Por especie y ha (t CO2/ha)</t>
  </si>
  <si>
    <r>
      <t>Absorciones disponibles para compensar opción A
(t CO</t>
    </r>
    <r>
      <rPr>
        <b/>
        <vertAlign val="subscript"/>
        <sz val="10"/>
        <color indexed="9"/>
        <rFont val="Arial Narrow"/>
        <family val="2"/>
      </rPr>
      <t>2</t>
    </r>
    <r>
      <rPr>
        <b/>
        <sz val="10"/>
        <color indexed="9"/>
        <rFont val="Arial Narrow"/>
        <family val="2"/>
      </rPr>
      <t>)</t>
    </r>
  </si>
  <si>
    <r>
      <t>Absorciones disponibles para compensar opción B
(t CO</t>
    </r>
    <r>
      <rPr>
        <b/>
        <vertAlign val="subscript"/>
        <sz val="10"/>
        <color indexed="9"/>
        <rFont val="Arial Narrow"/>
        <family val="2"/>
      </rPr>
      <t>2</t>
    </r>
    <r>
      <rPr>
        <b/>
        <sz val="10"/>
        <color indexed="9"/>
        <rFont val="Arial Narrow"/>
        <family val="2"/>
      </rPr>
      <t>)</t>
    </r>
  </si>
  <si>
    <t>Pinus nigra (Resto)</t>
  </si>
  <si>
    <r>
      <t xml:space="preserve">Pinus nigra </t>
    </r>
    <r>
      <rPr>
        <sz val="10"/>
        <rFont val="Arial Narrow"/>
        <family val="2"/>
      </rPr>
      <t>(Resto)</t>
    </r>
  </si>
  <si>
    <t>Número de pies objetivo para cada especie que se prevé que exista transcurrido el periodo de permanencia del proyecto. Este valor tendrá que estimarse teniendo en cuenta las marras, las tasas de mortalidad y las cortas previstas en el plan de gestión.</t>
  </si>
  <si>
    <t>Superficie de plantación para cada especie, expresada en ha.</t>
  </si>
  <si>
    <t>años</t>
  </si>
  <si>
    <t>Periodo de permanencia</t>
  </si>
  <si>
    <t>Superficie de plantación OPCIÓN A</t>
  </si>
  <si>
    <t>Superficie de plantación OPCIÓN B</t>
  </si>
  <si>
    <t>CIF</t>
  </si>
  <si>
    <t>2º año</t>
  </si>
  <si>
    <t>3º año</t>
  </si>
  <si>
    <t>4º año</t>
  </si>
  <si>
    <t>5º año</t>
  </si>
  <si>
    <t>Parcela 1</t>
  </si>
  <si>
    <t>Parcela 2</t>
  </si>
  <si>
    <t>Parcela 3</t>
  </si>
  <si>
    <t>Parcela 4</t>
  </si>
  <si>
    <t>Localidad</t>
  </si>
  <si>
    <t>Superficie de plantación total (superficie del proyecto)</t>
  </si>
  <si>
    <r>
      <t>2. CÁLCULO DE ABSORCIONES DE CO</t>
    </r>
    <r>
      <rPr>
        <b/>
        <vertAlign val="subscript"/>
        <sz val="14"/>
        <color indexed="9"/>
        <rFont val="Arial Narrow"/>
        <family val="2"/>
      </rPr>
      <t>2</t>
    </r>
  </si>
  <si>
    <r>
      <t>Unitarias por sp. (t CO</t>
    </r>
    <r>
      <rPr>
        <b/>
        <vertAlign val="subscript"/>
        <sz val="10"/>
        <color indexed="9"/>
        <rFont val="Arial Narrow"/>
        <family val="2"/>
      </rPr>
      <t>2</t>
    </r>
    <r>
      <rPr>
        <b/>
        <sz val="10"/>
        <color indexed="9"/>
        <rFont val="Arial Narrow"/>
        <family val="2"/>
      </rPr>
      <t>)</t>
    </r>
  </si>
  <si>
    <r>
      <t>Por sp. y ha
(t CO</t>
    </r>
    <r>
      <rPr>
        <b/>
        <vertAlign val="subscript"/>
        <sz val="10"/>
        <color indexed="9"/>
        <rFont val="Arial Narrow"/>
        <family val="2"/>
      </rPr>
      <t>2</t>
    </r>
    <r>
      <rPr>
        <b/>
        <sz val="10"/>
        <color indexed="9"/>
        <rFont val="Arial Narrow"/>
        <family val="2"/>
      </rPr>
      <t>/ha)</t>
    </r>
  </si>
  <si>
    <t xml:space="preserve">Absorciones OPCIÓN A </t>
  </si>
  <si>
    <t>Absorciones OPCIÓN B</t>
  </si>
  <si>
    <r>
      <t xml:space="preserve"> t CO</t>
    </r>
    <r>
      <rPr>
        <b/>
        <vertAlign val="subscript"/>
        <sz val="11"/>
        <color indexed="9"/>
        <rFont val="Arial Narrow"/>
        <family val="2"/>
      </rPr>
      <t>2</t>
    </r>
  </si>
  <si>
    <t>OPCIÓN B</t>
  </si>
  <si>
    <t>OPCIÓN A</t>
  </si>
  <si>
    <t>Año 1</t>
  </si>
  <si>
    <t>Año 2</t>
  </si>
  <si>
    <t>Año 3</t>
  </si>
  <si>
    <t>Año 4</t>
  </si>
  <si>
    <t>Año 5</t>
  </si>
  <si>
    <t>Desfase</t>
  </si>
  <si>
    <t>Año plant.</t>
  </si>
  <si>
    <t>Pinus sylvestris (Resto)</t>
  </si>
  <si>
    <t>Absorciones (cortas a hecho)</t>
  </si>
  <si>
    <t>Sup plant A</t>
  </si>
  <si>
    <t>Sup plant B</t>
  </si>
  <si>
    <t>Referencia catastral de la parcela donde está ubicado el proyecto (código alfanumérico compuesto por 20 caracteres). En caso de existir varias parcelas con diferente referencia catastral, indicar cuáles son en las celdas correspondientes.</t>
  </si>
  <si>
    <t>Año en que se realiza la plantación de cada especie.</t>
  </si>
  <si>
    <t>Lista años</t>
  </si>
  <si>
    <t>Año  plant.</t>
  </si>
  <si>
    <t>Año</t>
  </si>
  <si>
    <t>A+B</t>
  </si>
  <si>
    <t>Absorciones futuras disponibles para compensar exante</t>
  </si>
  <si>
    <t>Absorciones futuras estimadas</t>
  </si>
  <si>
    <t>TOTALES</t>
  </si>
  <si>
    <t>Absorciones futuras estimadas y disponibles para compensar ex ante según tipo de gestión (A o B)</t>
  </si>
  <si>
    <t>Tipo de repoblación</t>
  </si>
  <si>
    <t>CONTENIDO</t>
  </si>
  <si>
    <t>INSTRUCCIONES PARA LA CUMPLIMENTACIÓN: USO DE LA CALCULADORA</t>
  </si>
  <si>
    <t>Datos generales del proyecto</t>
  </si>
  <si>
    <t>Versión</t>
  </si>
  <si>
    <t>Revisiones</t>
  </si>
  <si>
    <t>V1</t>
  </si>
  <si>
    <t>Factores de absorción</t>
  </si>
  <si>
    <t>Tabla 201 del IFN3 y Anexo 2 (Coníferas) IFN1 (1)</t>
  </si>
  <si>
    <t>Tabla 201 del IFN3 y Anexo 2 (frondosas) IFN1 (2)</t>
  </si>
  <si>
    <t>Tablas producción Madrigal (3)</t>
  </si>
  <si>
    <t>(4)</t>
  </si>
  <si>
    <t>CLAVE_SP</t>
  </si>
  <si>
    <t>Especie repoblada</t>
  </si>
  <si>
    <t>CD</t>
  </si>
  <si>
    <t>tiempo (años)</t>
  </si>
  <si>
    <t>Tabla 201 e Inventario de emisiones 1990-2021</t>
  </si>
  <si>
    <t>Tabla 201 e Inventario de emisiones 1990-2012</t>
  </si>
  <si>
    <t>Tabla 201 IFN3 e Informe Inventarios GEI España 1990-2012</t>
  </si>
  <si>
    <t>Información Informe de emisiones de gases de efecto invernadero en España 1990-2012</t>
  </si>
  <si>
    <t>201_Valores promedio de los volúmenes según clases diamétricas para todas las provincias donde se encuentra cada especie.</t>
  </si>
  <si>
    <t>Fuente utilizada en V1</t>
  </si>
  <si>
    <t>Tabla 201 e Inventario de emisiones 1990-2022</t>
  </si>
  <si>
    <t>Tabla 201 e Inventario de emisiones 1990-2023</t>
  </si>
  <si>
    <t>Fuente en versión anterior V0</t>
  </si>
  <si>
    <t>Tiempo (años)_NIR</t>
  </si>
  <si>
    <t>Vol unit_201</t>
  </si>
  <si>
    <t>Sin fuente/dato (asimilación)</t>
  </si>
  <si>
    <r>
      <t>V20 
(m</t>
    </r>
    <r>
      <rPr>
        <vertAlign val="superscript"/>
        <sz val="11"/>
        <color indexed="9"/>
        <rFont val="Calibri"/>
        <family val="2"/>
      </rPr>
      <t>3</t>
    </r>
    <r>
      <rPr>
        <sz val="11"/>
        <color indexed="9"/>
        <rFont val="Calibri"/>
        <family val="2"/>
      </rPr>
      <t>/pie)</t>
    </r>
  </si>
  <si>
    <r>
      <t>V25 
(m</t>
    </r>
    <r>
      <rPr>
        <vertAlign val="superscript"/>
        <sz val="11"/>
        <color indexed="9"/>
        <rFont val="Calibri"/>
        <family val="2"/>
      </rPr>
      <t>3</t>
    </r>
    <r>
      <rPr>
        <sz val="11"/>
        <color indexed="9"/>
        <rFont val="Calibri"/>
        <family val="2"/>
      </rPr>
      <t>/pie)</t>
    </r>
  </si>
  <si>
    <r>
      <t>V30 
(m</t>
    </r>
    <r>
      <rPr>
        <vertAlign val="superscript"/>
        <sz val="11"/>
        <color indexed="8"/>
        <rFont val="Calibri"/>
        <family val="2"/>
      </rPr>
      <t>3</t>
    </r>
    <r>
      <rPr>
        <sz val="11"/>
        <color indexed="8"/>
        <rFont val="Calibri"/>
        <family val="2"/>
      </rPr>
      <t>/pie)</t>
    </r>
  </si>
  <si>
    <r>
      <t>V35 
(m</t>
    </r>
    <r>
      <rPr>
        <vertAlign val="superscript"/>
        <sz val="11"/>
        <color indexed="8"/>
        <rFont val="Calibri"/>
        <family val="2"/>
      </rPr>
      <t>3</t>
    </r>
    <r>
      <rPr>
        <sz val="11"/>
        <color indexed="8"/>
        <rFont val="Calibri"/>
        <family val="2"/>
      </rPr>
      <t>/pie)</t>
    </r>
  </si>
  <si>
    <r>
      <t>V40 
(m</t>
    </r>
    <r>
      <rPr>
        <vertAlign val="superscript"/>
        <sz val="11"/>
        <color indexed="8"/>
        <rFont val="Calibri"/>
        <family val="2"/>
      </rPr>
      <t>3</t>
    </r>
    <r>
      <rPr>
        <sz val="11"/>
        <color indexed="8"/>
        <rFont val="Calibri"/>
        <family val="2"/>
      </rPr>
      <t>/pie)</t>
    </r>
  </si>
  <si>
    <t>lista Especie</t>
  </si>
  <si>
    <t>lista BEFXD</t>
  </si>
  <si>
    <t>lista R</t>
  </si>
  <si>
    <t>Cedrus spp.</t>
  </si>
  <si>
    <t xml:space="preserve">Cupressus spp. </t>
  </si>
  <si>
    <t>Gleditsia triacanthos</t>
  </si>
  <si>
    <t>Laurus spp.</t>
  </si>
  <si>
    <t>Platanus spp.</t>
  </si>
  <si>
    <t>Robinia pseudoacacia</t>
  </si>
  <si>
    <t>Sophora japonica</t>
  </si>
  <si>
    <r>
      <t xml:space="preserve">Pinus sylvestris </t>
    </r>
    <r>
      <rPr>
        <sz val="10"/>
        <rFont val="Arial Narrow"/>
        <family val="2"/>
      </rPr>
      <t>(Resto)</t>
    </r>
  </si>
  <si>
    <r>
      <t>Año plant.</t>
    </r>
    <r>
      <rPr>
        <b/>
        <vertAlign val="superscript"/>
        <sz val="10"/>
        <color indexed="9"/>
        <rFont val="Arial Narrow"/>
        <family val="2"/>
      </rPr>
      <t xml:space="preserve">3
</t>
    </r>
  </si>
  <si>
    <r>
      <t xml:space="preserve"> Año plant.</t>
    </r>
    <r>
      <rPr>
        <b/>
        <vertAlign val="superscript"/>
        <sz val="10"/>
        <color indexed="9"/>
        <rFont val="Arial Narrow"/>
        <family val="2"/>
      </rPr>
      <t xml:space="preserve">1
</t>
    </r>
  </si>
  <si>
    <r>
      <t>Nº pies objetivo</t>
    </r>
    <r>
      <rPr>
        <b/>
        <vertAlign val="superscript"/>
        <sz val="10"/>
        <color indexed="9"/>
        <rFont val="Arial Narrow"/>
        <family val="2"/>
      </rPr>
      <t xml:space="preserve">2
</t>
    </r>
  </si>
  <si>
    <r>
      <t>Superficie de plant.</t>
    </r>
    <r>
      <rPr>
        <b/>
        <vertAlign val="superscript"/>
        <sz val="10"/>
        <color indexed="9"/>
        <rFont val="Arial Narrow"/>
        <family val="2"/>
      </rPr>
      <t xml:space="preserve">5
</t>
    </r>
  </si>
  <si>
    <r>
      <t>Turno</t>
    </r>
    <r>
      <rPr>
        <b/>
        <vertAlign val="superscript"/>
        <sz val="10"/>
        <color indexed="9"/>
        <rFont val="Arial Narrow"/>
        <family val="2"/>
      </rPr>
      <t xml:space="preserve">4
</t>
    </r>
    <r>
      <rPr>
        <b/>
        <sz val="10"/>
        <color indexed="9"/>
        <rFont val="Arial Narrow"/>
        <family val="2"/>
      </rPr>
      <t xml:space="preserve">(años)
</t>
    </r>
  </si>
  <si>
    <r>
      <t>Nº pies objetivo</t>
    </r>
    <r>
      <rPr>
        <b/>
        <vertAlign val="superscript"/>
        <sz val="10"/>
        <color indexed="9"/>
        <rFont val="Arial Narrow"/>
        <family val="2"/>
      </rPr>
      <t xml:space="preserve">6
</t>
    </r>
  </si>
  <si>
    <t>Promotor</t>
  </si>
  <si>
    <t>Título</t>
  </si>
  <si>
    <t>Tabla 201 del Inventario Forestal Nacional 3 e Informe de emisiones de gases de efecto invernadero en España 1990-2012.</t>
  </si>
  <si>
    <t xml:space="preserve">    Anexo : Revisiones de la calculadora</t>
  </si>
  <si>
    <r>
      <t xml:space="preserve">     Sup. parcela</t>
    </r>
    <r>
      <rPr>
        <b/>
        <vertAlign val="superscript"/>
        <sz val="11"/>
        <color indexed="9"/>
        <rFont val="Arial Narrow"/>
        <family val="2"/>
      </rPr>
      <t>3</t>
    </r>
  </si>
  <si>
    <t>Superficie de plantación, que podrá ser igual o inferior a la superficie de la parcela, expresada en ha.</t>
  </si>
  <si>
    <t>Absorciones estimadas que generará el proyecto durante el periodo de permanencia</t>
  </si>
  <si>
    <r>
      <t>Total
 (t CO</t>
    </r>
    <r>
      <rPr>
        <b/>
        <vertAlign val="subscript"/>
        <sz val="10"/>
        <color indexed="9"/>
        <rFont val="Arial Narrow"/>
        <family val="2"/>
      </rPr>
      <t>2</t>
    </r>
    <r>
      <rPr>
        <b/>
        <sz val="10"/>
        <color indexed="9"/>
        <rFont val="Arial Narrow"/>
        <family val="2"/>
      </rPr>
      <t>)</t>
    </r>
  </si>
  <si>
    <r>
      <t>Unitarias por sp. (t CO</t>
    </r>
    <r>
      <rPr>
        <b/>
        <vertAlign val="subscript"/>
        <sz val="10"/>
        <color indexed="9"/>
        <rFont val="Arial Narrow"/>
        <family val="2"/>
      </rPr>
      <t>2</t>
    </r>
    <r>
      <rPr>
        <b/>
        <sz val="10"/>
        <color indexed="9"/>
        <rFont val="Arial Narrow"/>
        <family val="2"/>
      </rPr>
      <t>)</t>
    </r>
  </si>
  <si>
    <r>
      <t>Total
(t CO</t>
    </r>
    <r>
      <rPr>
        <b/>
        <vertAlign val="subscript"/>
        <sz val="10"/>
        <color indexed="9"/>
        <rFont val="Arial Narrow"/>
        <family val="2"/>
      </rPr>
      <t>2</t>
    </r>
    <r>
      <rPr>
        <b/>
        <sz val="10"/>
        <color indexed="9"/>
        <rFont val="Arial Narrow"/>
        <family val="2"/>
      </rPr>
      <t>)</t>
    </r>
  </si>
  <si>
    <r>
      <t>Total por sup.
(t CO</t>
    </r>
    <r>
      <rPr>
        <b/>
        <vertAlign val="subscript"/>
        <sz val="10"/>
        <color indexed="9"/>
        <rFont val="Arial Narrow"/>
        <family val="2"/>
      </rPr>
      <t>2</t>
    </r>
    <r>
      <rPr>
        <b/>
        <sz val="10"/>
        <color indexed="9"/>
        <rFont val="Arial Narrow"/>
        <family val="2"/>
      </rPr>
      <t>/ha)</t>
    </r>
  </si>
  <si>
    <t>turno &gt;periodo permanencia</t>
  </si>
  <si>
    <t>turno &lt; periodo permanencia</t>
  </si>
  <si>
    <t>Número de pies objetivo de cada especie que se prevé que exista transcurrido el turno considerado. Este valor tendrá que estimarse teniendo en cuenta las marras, las tasas de mortalidad y las cortas previstas en el plan de gestión.</t>
  </si>
  <si>
    <t>Superficie correspondiente a cada parcela, expresada en ha.</t>
  </si>
  <si>
    <t>Nombre del proyecto</t>
  </si>
  <si>
    <t>&gt;40</t>
  </si>
  <si>
    <r>
      <t xml:space="preserve">            Referencia catastral</t>
    </r>
    <r>
      <rPr>
        <b/>
        <vertAlign val="superscript"/>
        <sz val="11"/>
        <color indexed="9"/>
        <rFont val="Arial Narrow"/>
        <family val="2"/>
      </rPr>
      <t>2</t>
    </r>
  </si>
  <si>
    <t>Superficie total</t>
  </si>
  <si>
    <r>
      <t>Absorciones al final de periodo de permanencia (t CO</t>
    </r>
    <r>
      <rPr>
        <b/>
        <vertAlign val="subscript"/>
        <sz val="10"/>
        <color indexed="9"/>
        <rFont val="Arial Narrow"/>
        <family val="2"/>
      </rPr>
      <t>2</t>
    </r>
    <r>
      <rPr>
        <b/>
        <sz val="10"/>
        <color indexed="9"/>
        <rFont val="Arial Narrow"/>
        <family val="2"/>
      </rPr>
      <t>)</t>
    </r>
  </si>
  <si>
    <r>
      <t>Absorciones estimadas (t CO</t>
    </r>
    <r>
      <rPr>
        <b/>
        <vertAlign val="subscript"/>
        <sz val="10"/>
        <color indexed="9"/>
        <rFont val="Arial Narrow"/>
        <family val="2"/>
      </rPr>
      <t>2</t>
    </r>
    <r>
      <rPr>
        <b/>
        <sz val="10"/>
        <color indexed="9"/>
        <rFont val="Arial Narrow"/>
        <family val="2"/>
      </rPr>
      <t>)</t>
    </r>
  </si>
  <si>
    <r>
      <t>Absorciones disponibles para compensar (t CO</t>
    </r>
    <r>
      <rPr>
        <b/>
        <vertAlign val="subscript"/>
        <sz val="10"/>
        <color indexed="9"/>
        <rFont val="Arial Narrow"/>
        <family val="2"/>
      </rPr>
      <t>2</t>
    </r>
    <r>
      <rPr>
        <b/>
        <sz val="10"/>
        <color indexed="9"/>
        <rFont val="Arial Narrow"/>
        <family val="2"/>
      </rPr>
      <t>)</t>
    </r>
  </si>
  <si>
    <t>A</t>
  </si>
  <si>
    <t>B</t>
  </si>
  <si>
    <t>C</t>
  </si>
  <si>
    <r>
      <t>Sup. plantación</t>
    </r>
    <r>
      <rPr>
        <b/>
        <vertAlign val="superscript"/>
        <sz val="11"/>
        <color indexed="9"/>
        <rFont val="Arial Narrow"/>
        <family val="2"/>
      </rPr>
      <t>4</t>
    </r>
  </si>
  <si>
    <t>cifras redondeadas</t>
  </si>
  <si>
    <t>redondeadas</t>
  </si>
  <si>
    <t>redondear multiplicación</t>
  </si>
  <si>
    <t>1º año (año del proyecto)</t>
  </si>
  <si>
    <t>Año de inicio de la plantación (año del proyecto)</t>
  </si>
  <si>
    <r>
      <t xml:space="preserve"> Años de plantación plan de gestión</t>
    </r>
    <r>
      <rPr>
        <b/>
        <vertAlign val="superscript"/>
        <sz val="11"/>
        <color indexed="9"/>
        <rFont val="Arial Narrow"/>
        <family val="2"/>
      </rPr>
      <t>5</t>
    </r>
  </si>
  <si>
    <t>Año de inicio de la plantación del proyecto</t>
  </si>
  <si>
    <t>Periodo de permanencia del proyecto</t>
  </si>
  <si>
    <t>Años de plantación según el plan de gestión (cada año será un proyecto independiente)</t>
  </si>
  <si>
    <r>
      <t>Absorciones disponibles (t CO</t>
    </r>
    <r>
      <rPr>
        <b/>
        <vertAlign val="subscript"/>
        <sz val="13"/>
        <color indexed="9"/>
        <rFont val="Arial Narrow"/>
        <family val="2"/>
      </rPr>
      <t>2</t>
    </r>
    <r>
      <rPr>
        <b/>
        <sz val="13"/>
        <color indexed="9"/>
        <rFont val="Arial Narrow"/>
        <family val="2"/>
      </rPr>
      <t>) = B - C</t>
    </r>
  </si>
  <si>
    <t>Absorciones cedidas a la BOLSA DE GARANTÍA = cantidad equivalente al 10% de las absorciones disponibles</t>
  </si>
  <si>
    <t>Periodo (expresado en años) durante el cual el promotor se compromete a gestionar la masa y a garantizar su persistencia. Este periodo tendrá que ser igual o superior a 30 años. En caso de que el periodo de permanencia indicado fuese superior a 50 años, y debido a la incertidumbre asociada a periodos tan largos, los cálculos se realizarán considerando un horizonte de 50 años.</t>
  </si>
  <si>
    <t xml:space="preserve">Absorciones previstas al final del periodo de permanencia </t>
  </si>
  <si>
    <t>Encontrará a continuación la información desagregada en caso de que haya cumplimentado distintos años de plantación. Únicamente se facilita esta información a título orientativo.</t>
  </si>
  <si>
    <r>
      <t xml:space="preserve">Cada proyecto engloba una única campaña de plantación, si existen otras plantaciones en años sucesivos (excluyendo la reposición de marras), se considerarán </t>
    </r>
    <r>
      <rPr>
        <b/>
        <sz val="13"/>
        <rFont val="Arial Narrow"/>
        <family val="2"/>
      </rPr>
      <t>proyectos independientes</t>
    </r>
    <r>
      <rPr>
        <sz val="11"/>
        <rFont val="Arial Narrow"/>
        <family val="2"/>
      </rPr>
      <t>.
A título informativo, y para facilitar el análisis de proyectos con estas características, la calculadora proporciona las estimaciones de las absorciones que éstas generarán al final del periodo de permanencia contabilizado desde cada año de plantación.</t>
    </r>
  </si>
  <si>
    <t>Las absorciones aquí indicadas se corresponden con la estimación de las absorciones que se espera obtener desde el año en que se produce la plantación hasta el término de periodo de permanencia.</t>
  </si>
  <si>
    <r>
      <t>2. ESTIMACIÓN DE ABSORCIONES DISPONIBLES (t CO</t>
    </r>
    <r>
      <rPr>
        <b/>
        <vertAlign val="subscript"/>
        <sz val="14"/>
        <color indexed="9"/>
        <rFont val="Arial Narrow"/>
        <family val="2"/>
      </rPr>
      <t>2</t>
    </r>
    <r>
      <rPr>
        <b/>
        <sz val="14"/>
        <color indexed="9"/>
        <rFont val="Arial Narrow"/>
        <family val="2"/>
      </rPr>
      <t>)</t>
    </r>
  </si>
  <si>
    <t>Estimación de absorción total</t>
  </si>
  <si>
    <t>Absorciones disponibles</t>
  </si>
  <si>
    <t>Erica arborea (Canarias)</t>
  </si>
  <si>
    <t xml:space="preserve">1
</t>
  </si>
  <si>
    <r>
      <t>Absorciones acumuladas estimadas (t CO</t>
    </r>
    <r>
      <rPr>
        <b/>
        <vertAlign val="subscript"/>
        <sz val="11"/>
        <color indexed="9"/>
        <rFont val="Arial Narrow"/>
        <family val="2"/>
      </rPr>
      <t>2</t>
    </r>
    <r>
      <rPr>
        <b/>
        <sz val="11"/>
        <color indexed="9"/>
        <rFont val="Arial Narrow"/>
        <family val="2"/>
      </rPr>
      <t>/pie)</t>
    </r>
  </si>
  <si>
    <t>Pinus pinaster ssp. atlantica Zona Norte interior</t>
  </si>
  <si>
    <t>Pinus pinaster ssp. atlantica Zona Norte costera</t>
  </si>
  <si>
    <t>test</t>
  </si>
  <si>
    <t>(5)</t>
  </si>
  <si>
    <t>(6)</t>
  </si>
  <si>
    <t>(7)</t>
  </si>
  <si>
    <t>(8)</t>
  </si>
  <si>
    <t>Prada, M., González-García, M., Majada, J., &amp; Martínez-Alonso, C. (2019). Development of a dynamic growth model for sweet chestnut coppice: A case study in Northwest Spain. Ecological Modelling, 409, 108761.</t>
  </si>
  <si>
    <t>(9)</t>
  </si>
  <si>
    <r>
      <t xml:space="preserve">Menéndez-Miguélez, M., Álvarez-Álvarez, P., Majada, J., &amp; Canga, E. (2016). Management tools for </t>
    </r>
    <r>
      <rPr>
        <i/>
        <sz val="11"/>
        <color rgb="FF000000"/>
        <rFont val="Arial Narrow"/>
        <family val="2"/>
      </rPr>
      <t>Castanea sativa</t>
    </r>
    <r>
      <rPr>
        <sz val="11"/>
        <color indexed="8"/>
        <rFont val="Arial Narrow"/>
        <family val="2"/>
      </rPr>
      <t xml:space="preserve"> coppice stands in northwestern Spain. Bosque, 37(1), 119-133.</t>
    </r>
  </si>
  <si>
    <r>
      <t xml:space="preserve">Canga, E. (2008). Crecimiento y producción de pinares regulares de </t>
    </r>
    <r>
      <rPr>
        <i/>
        <sz val="11"/>
        <color rgb="FF000000"/>
        <rFont val="Arial Narrow"/>
        <family val="2"/>
      </rPr>
      <t>Pinus radiata</t>
    </r>
    <r>
      <rPr>
        <sz val="11"/>
        <color indexed="8"/>
        <rFont val="Arial Narrow"/>
        <family val="2"/>
      </rPr>
      <t xml:space="preserve"> D. Don en Asturias. Tesis doctoral. Universidad de Oviedo.</t>
    </r>
  </si>
  <si>
    <t>Tablas de producción Asturias (7)</t>
  </si>
  <si>
    <t>Tablas de producción Asturias (9)</t>
  </si>
  <si>
    <t xml:space="preserve">Abies alba </t>
  </si>
  <si>
    <t>Castanea sativa Asturias</t>
  </si>
  <si>
    <t>Eucalyptus globulus Asturias</t>
  </si>
  <si>
    <t>Pinus radiata Asturias</t>
  </si>
  <si>
    <t xml:space="preserve">Eucalyptus globulus </t>
  </si>
  <si>
    <t>Pinus pinaster ssp. atlantica Asturias</t>
  </si>
  <si>
    <t>Modelo dinámico y ecuación volumen (8) Asturias</t>
  </si>
  <si>
    <r>
      <t>Pinus pinaster ssp. atlantica</t>
    </r>
    <r>
      <rPr>
        <sz val="10"/>
        <rFont val="Arial Narrow"/>
        <family val="2"/>
      </rPr>
      <t xml:space="preserve"> Asturias</t>
    </r>
  </si>
  <si>
    <r>
      <t xml:space="preserve">Tolosana, E., López, T., Martínez-Millán, F. (2004). Estudio de calidad, producción y cubicación de </t>
    </r>
    <r>
      <rPr>
        <i/>
        <sz val="11"/>
        <color rgb="FF000000"/>
        <rFont val="Arial Narrow"/>
        <family val="2"/>
      </rPr>
      <t>Eucalyptus globulus</t>
    </r>
    <r>
      <rPr>
        <sz val="11"/>
        <color indexed="8"/>
        <rFont val="Arial Narrow"/>
        <family val="2"/>
      </rPr>
      <t xml:space="preserve"> en Asturias y Galicia. NORFOR - UPM 2003-2005. Madrid.  </t>
    </r>
  </si>
  <si>
    <t>Modelo dinámico (5) y tablas de producción (6) Asturias</t>
  </si>
  <si>
    <r>
      <t xml:space="preserve">Pinus pinaster </t>
    </r>
    <r>
      <rPr>
        <sz val="8"/>
        <color indexed="60"/>
        <rFont val="Arial"/>
        <family val="2"/>
      </rPr>
      <t>(Resto)</t>
    </r>
  </si>
  <si>
    <t xml:space="preserve">Año plant.3
</t>
  </si>
  <si>
    <t xml:space="preserve">Turno4
(años)
</t>
  </si>
  <si>
    <t xml:space="preserve">Superficie de plant.5
</t>
  </si>
  <si>
    <t xml:space="preserve">Nº pies objetivo6
</t>
  </si>
  <si>
    <t>Unitarias por sp. (t CO2)</t>
  </si>
  <si>
    <t>Total
(t CO2)</t>
  </si>
  <si>
    <t>Total por sup.
(t CO2/ha)</t>
  </si>
  <si>
    <t>N.I.F.</t>
  </si>
  <si>
    <t xml:space="preserve"> N.I.F.</t>
  </si>
  <si>
    <r>
      <t>Habrá que cumplimentar las celdas de las pestañas "</t>
    </r>
    <r>
      <rPr>
        <b/>
        <sz val="14"/>
        <color rgb="FF10069F"/>
        <rFont val="Arial Narrow"/>
        <family val="2"/>
      </rPr>
      <t>1. Datos generales del proyecto</t>
    </r>
    <r>
      <rPr>
        <sz val="12"/>
        <rFont val="Arial Narrow"/>
        <family val="2"/>
      </rPr>
      <t>" y "</t>
    </r>
    <r>
      <rPr>
        <b/>
        <sz val="14"/>
        <color rgb="FF10069F"/>
        <rFont val="Arial Narrow"/>
        <family val="2"/>
      </rPr>
      <t>2. Estimación de absorción total</t>
    </r>
    <r>
      <rPr>
        <sz val="12"/>
        <rFont val="Arial Narrow"/>
        <family val="2"/>
      </rPr>
      <t>". Los resultados se obtendrán de forma automática y aparecerán en la pestaña de "</t>
    </r>
    <r>
      <rPr>
        <b/>
        <sz val="14"/>
        <color rgb="FF10069F"/>
        <rFont val="Arial Narrow"/>
        <family val="2"/>
      </rPr>
      <t>3. Absorciones disponibles</t>
    </r>
    <r>
      <rPr>
        <sz val="12"/>
        <rFont val="Arial Narrow"/>
        <family val="2"/>
      </rPr>
      <t>", en función de los factores que aparecen en la pestaña "</t>
    </r>
    <r>
      <rPr>
        <b/>
        <sz val="14"/>
        <color rgb="FF10069F"/>
        <rFont val="Arial Narrow"/>
        <family val="2"/>
      </rPr>
      <t>4. Factores de absorción</t>
    </r>
    <r>
      <rPr>
        <sz val="12"/>
        <rFont val="Arial Narrow"/>
        <family val="2"/>
      </rPr>
      <t>" según especies y en función del periodo de permanencia y/o turno establecidos.</t>
    </r>
  </si>
  <si>
    <t>Allande</t>
  </si>
  <si>
    <t>Aller</t>
  </si>
  <si>
    <t>Amieva</t>
  </si>
  <si>
    <t>Avilés</t>
  </si>
  <si>
    <t>Belmonte de Miranda</t>
  </si>
  <si>
    <t>Bimenes</t>
  </si>
  <si>
    <t>Boal</t>
  </si>
  <si>
    <t>Cabrales</t>
  </si>
  <si>
    <t>Cabranes</t>
  </si>
  <si>
    <t>Candamo</t>
  </si>
  <si>
    <t>Cangas del Narcea</t>
  </si>
  <si>
    <t>Cangas de Onís</t>
  </si>
  <si>
    <t>Caravia</t>
  </si>
  <si>
    <t>Carreño</t>
  </si>
  <si>
    <t>Caso</t>
  </si>
  <si>
    <t>Castrillón</t>
  </si>
  <si>
    <t>Castropol</t>
  </si>
  <si>
    <t>Coaña</t>
  </si>
  <si>
    <t>Colunga</t>
  </si>
  <si>
    <t>Corvera de Asturias</t>
  </si>
  <si>
    <t>Cudillero</t>
  </si>
  <si>
    <t>Degaña</t>
  </si>
  <si>
    <t>Franco, El</t>
  </si>
  <si>
    <t>Gijón</t>
  </si>
  <si>
    <t>Gozón</t>
  </si>
  <si>
    <t>Grado</t>
  </si>
  <si>
    <t>Grandas de Salime</t>
  </si>
  <si>
    <t>Ibias</t>
  </si>
  <si>
    <t>Illano</t>
  </si>
  <si>
    <t>Illas</t>
  </si>
  <si>
    <t>Langreo</t>
  </si>
  <si>
    <t>Laviana</t>
  </si>
  <si>
    <t>Lena</t>
  </si>
  <si>
    <t>Valdés</t>
  </si>
  <si>
    <t>Llanera</t>
  </si>
  <si>
    <t>Llanes</t>
  </si>
  <si>
    <t>Mieres</t>
  </si>
  <si>
    <t>Morcín</t>
  </si>
  <si>
    <t>Muros de Nalón</t>
  </si>
  <si>
    <t>Nava</t>
  </si>
  <si>
    <t>Navia</t>
  </si>
  <si>
    <t>Noreña</t>
  </si>
  <si>
    <t>Onís</t>
  </si>
  <si>
    <t>Oviedo</t>
  </si>
  <si>
    <t>Parres</t>
  </si>
  <si>
    <t>Peñamellera Alta</t>
  </si>
  <si>
    <t>Peñamellera Baja</t>
  </si>
  <si>
    <t>Pesoz</t>
  </si>
  <si>
    <t>Piloña</t>
  </si>
  <si>
    <t>Ponga</t>
  </si>
  <si>
    <t>Pravia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</si>
  <si>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</si>
  <si>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</si>
  <si>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</si>
  <si>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</si>
  <si>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</si>
  <si>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</si>
  <si>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</si>
  <si>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</si>
  <si>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</si>
  <si>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</si>
  <si>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</si>
  <si>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</si>
  <si>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</si>
  <si>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</si>
  <si>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</si>
  <si>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</si>
  <si>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</si>
  <si>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Soto del Barco</t>
  </si>
  <si>
    <t>Tapia de Casariego</t>
  </si>
  <si>
    <t>Taramundi</t>
  </si>
  <si>
    <t>Teverga</t>
  </si>
  <si>
    <t>Tineo</t>
  </si>
  <si>
    <t>Vegadeo</t>
  </si>
  <si>
    <t>Villanueva de Oscos</t>
  </si>
  <si>
    <t>Villaviciosa</t>
  </si>
  <si>
    <t>Villayón</t>
  </si>
  <si>
    <t>Yernes y Tameza</t>
  </si>
  <si>
    <r>
      <t>Se distinguen dos metodologías de cálculo en función del tipo de repoblación realizada. En los casos en que el fin de la repoblación no sea productivo o bien, que el turno de corta previsto sea superior al periodo de permanencia, se escogerá la</t>
    </r>
    <r>
      <rPr>
        <sz val="16"/>
        <rFont val="Arial Narrow"/>
        <family val="2"/>
      </rPr>
      <t xml:space="preserve"> </t>
    </r>
    <r>
      <rPr>
        <b/>
        <sz val="16"/>
        <color rgb="FF10069F"/>
        <rFont val="Arial Narrow"/>
        <family val="2"/>
      </rPr>
      <t>Opción A</t>
    </r>
    <r>
      <rPr>
        <sz val="12"/>
        <rFont val="Arial Narrow"/>
        <family val="2"/>
      </rPr>
      <t xml:space="preserve"> (Repoblaciones sin aprovechamiento maderero o de aprovechamiento no intensivo). Por otro lado, en caso de tratarse de repoblaciones de aprovechamiento intensivo cuyo turno de corta sea inferior al periodo de permanencia, se escogerá la </t>
    </r>
    <r>
      <rPr>
        <b/>
        <sz val="14"/>
        <color rgb="FF10069F"/>
        <rFont val="Arial Narrow"/>
        <family val="2"/>
      </rPr>
      <t>Opción B</t>
    </r>
    <r>
      <rPr>
        <sz val="12"/>
        <rFont val="Arial Narrow"/>
        <family val="2"/>
      </rPr>
      <t xml:space="preserve"> (Repoblaciones de aprovechamiento intensivo, cortas a hecho).</t>
    </r>
  </si>
  <si>
    <t xml:space="preserve">                                                                                4. FACTORES DE ABSORCIÓN DE LAS ESPECIES FORESTALES EN EL PRINCIPADO DE ASTURIAS</t>
  </si>
  <si>
    <r>
      <t>Absorciones estimadas (t CO</t>
    </r>
    <r>
      <rPr>
        <b/>
        <vertAlign val="subscript"/>
        <sz val="11"/>
        <color rgb="FFC5D9F1"/>
        <rFont val="Arial Narrow"/>
        <family val="2"/>
      </rPr>
      <t>2</t>
    </r>
    <r>
      <rPr>
        <b/>
        <sz val="11"/>
        <color rgb="FFC5D9F1"/>
        <rFont val="Arial Narrow"/>
        <family val="2"/>
      </rPr>
      <t>/pie)</t>
    </r>
  </si>
  <si>
    <r>
      <t xml:space="preserve">Pinus nigra </t>
    </r>
    <r>
      <rPr>
        <sz val="10"/>
        <color rgb="FFC5D9F1"/>
        <rFont val="Arial Narrow"/>
        <family val="2"/>
      </rPr>
      <t>(Resto)</t>
    </r>
  </si>
  <si>
    <r>
      <t>Pinus pinaster ssp. atlantica</t>
    </r>
    <r>
      <rPr>
        <sz val="10"/>
        <color rgb="FFC5D9F1"/>
        <rFont val="Arial Narrow"/>
        <family val="2"/>
      </rPr>
      <t xml:space="preserve"> Zona Norte interior</t>
    </r>
  </si>
  <si>
    <r>
      <t>Pinus pinaster ssp. atlantica</t>
    </r>
    <r>
      <rPr>
        <sz val="10"/>
        <color rgb="FFC5D9F1"/>
        <rFont val="Arial Narrow"/>
        <family val="2"/>
      </rPr>
      <t xml:space="preserve"> Zona Norte costera</t>
    </r>
  </si>
  <si>
    <r>
      <t xml:space="preserve">Pinus pinaster </t>
    </r>
    <r>
      <rPr>
        <sz val="10"/>
        <color rgb="FFC5D9F1"/>
        <rFont val="Arial Narrow"/>
        <family val="2"/>
      </rPr>
      <t>(Resto)</t>
    </r>
  </si>
  <si>
    <r>
      <t xml:space="preserve">Pinus sylvestris </t>
    </r>
    <r>
      <rPr>
        <sz val="10"/>
        <color rgb="FFC5D9F1"/>
        <rFont val="Arial Narrow"/>
        <family val="2"/>
      </rPr>
      <t>(Resto)</t>
    </r>
  </si>
  <si>
    <r>
      <t>3. ESTIMACIÓN DE LAS ABSORCIONES (t CO</t>
    </r>
    <r>
      <rPr>
        <b/>
        <vertAlign val="subscript"/>
        <sz val="14"/>
        <color rgb="FFC5D9F1"/>
        <rFont val="Arial Narrow"/>
        <family val="2"/>
      </rPr>
      <t>2</t>
    </r>
    <r>
      <rPr>
        <b/>
        <sz val="14"/>
        <color rgb="FFC5D9F1"/>
        <rFont val="Arial Narrow"/>
        <family val="2"/>
      </rPr>
      <t>) QUE GENERARÍAN LAS PLANTACIONES DE AÑOS SUCESIVOS AL TÉRMINO DEL PERIODO DE PERMANENCIA (OTROS PROYECTOS)</t>
    </r>
    <r>
      <rPr>
        <b/>
        <sz val="11"/>
        <color rgb="FFC5D9F1"/>
        <rFont val="Arial Narrow"/>
        <family val="2"/>
      </rPr>
      <t xml:space="preserve"> </t>
    </r>
  </si>
  <si>
    <r>
      <t>Absorciones netas futuras disponibles para compensar (t CO</t>
    </r>
    <r>
      <rPr>
        <b/>
        <vertAlign val="subscript"/>
        <sz val="11"/>
        <color rgb="FFC5D9F1"/>
        <rFont val="Arial Narrow"/>
        <family val="2"/>
      </rPr>
      <t>2</t>
    </r>
    <r>
      <rPr>
        <b/>
        <sz val="11"/>
        <color rgb="FFC5D9F1"/>
        <rFont val="Arial Narrow"/>
        <family val="2"/>
      </rPr>
      <t>) = B - C</t>
    </r>
  </si>
  <si>
    <t>Para masas en las que se realizan cortas a hecho al alcanzar su turno y, posteriormente, se reponen, se considera que se producen ciclos de absorciones según un patrón Absorciones – tiempo en forma de dientes de sierra como el que se muestra en la figura. Se observa que los máximos de absorción se producen al final de cada turno y los mínimos a su inicio. 
Así, en estos casos, las absorciones que se estima que se alcanzarán al final del periodo de permanencia, serán el resultado de la media de las absorciones producidas durante el periodo comprendido por el turno.</t>
  </si>
  <si>
    <t>Periodo de tiempo, expresado en años, transcurrido entre la siembra, plantación o regeneración natural y la corta para el aprovechamiento maderable de la masa arbolada. Se establece un turno mínimo de 8 años.</t>
  </si>
  <si>
    <r>
      <rPr>
        <b/>
        <sz val="16"/>
        <color indexed="9"/>
        <rFont val="Arial Narrow"/>
        <family val="2"/>
      </rPr>
      <t>Opción A</t>
    </r>
    <r>
      <rPr>
        <b/>
        <sz val="12"/>
        <color indexed="9"/>
        <rFont val="Arial Narrow"/>
        <family val="2"/>
      </rPr>
      <t xml:space="preserve">: </t>
    </r>
    <r>
      <rPr>
        <b/>
        <sz val="16"/>
        <color indexed="9"/>
        <rFont val="Arial Narrow"/>
        <family val="2"/>
      </rPr>
      <t>Repoblaciones sin aprovechamiento maderero o de aprovechamiento no intensivo</t>
    </r>
  </si>
  <si>
    <r>
      <rPr>
        <b/>
        <sz val="16"/>
        <color indexed="9"/>
        <rFont val="Arial Narrow"/>
        <family val="2"/>
      </rPr>
      <t>Opción B</t>
    </r>
    <r>
      <rPr>
        <b/>
        <sz val="12"/>
        <color indexed="9"/>
        <rFont val="Arial Narrow"/>
        <family val="2"/>
      </rPr>
      <t xml:space="preserve">: </t>
    </r>
    <r>
      <rPr>
        <b/>
        <sz val="16"/>
        <color indexed="9"/>
        <rFont val="Arial Narrow"/>
        <family val="2"/>
      </rPr>
      <t>Repoblaciones de aprovechamiento intensivo. Cortas a hecho</t>
    </r>
  </si>
  <si>
    <r>
      <t xml:space="preserve">Absorciones registradas útiles = 20% * </t>
    </r>
    <r>
      <rPr>
        <b/>
        <sz val="10"/>
        <color rgb="FF10069F"/>
        <rFont val="Arial Narrow"/>
        <family val="2"/>
      </rPr>
      <t>A</t>
    </r>
    <r>
      <rPr>
        <b/>
        <sz val="10"/>
        <color indexed="57"/>
        <rFont val="Arial Narrow"/>
        <family val="2"/>
      </rPr>
      <t xml:space="preserve"> </t>
    </r>
  </si>
  <si>
    <r>
      <t xml:space="preserve">· Sólo se podrá retirar un 20% de las absorciones totales previstas. Estas absorciones se denominan absorciones registradas útiles </t>
    </r>
    <r>
      <rPr>
        <sz val="14"/>
        <rFont val="Arial Narrow"/>
        <family val="2"/>
      </rPr>
      <t>(</t>
    </r>
    <r>
      <rPr>
        <b/>
        <sz val="14"/>
        <color rgb="FF10069F"/>
        <rFont val="Arial Narrow"/>
        <family val="2"/>
      </rPr>
      <t>B</t>
    </r>
    <r>
      <rPr>
        <sz val="14"/>
        <rFont val="Arial Narrow"/>
        <family val="2"/>
      </rPr>
      <t>).</t>
    </r>
  </si>
  <si>
    <r>
      <t xml:space="preserve">· A la bolsa de garantía se destinará una cantidad de absorciones </t>
    </r>
    <r>
      <rPr>
        <sz val="14"/>
        <color indexed="8"/>
        <rFont val="Arial Narrow"/>
        <family val="2"/>
      </rPr>
      <t>(</t>
    </r>
    <r>
      <rPr>
        <b/>
        <sz val="14"/>
        <color rgb="FF10069F"/>
        <rFont val="Arial Narrow"/>
        <family val="2"/>
      </rPr>
      <t>C</t>
    </r>
    <r>
      <rPr>
        <sz val="14"/>
        <color indexed="8"/>
        <rFont val="Arial Narrow"/>
        <family val="2"/>
      </rPr>
      <t>)</t>
    </r>
    <r>
      <rPr>
        <sz val="11"/>
        <color indexed="8"/>
        <rFont val="Arial Narrow"/>
        <family val="2"/>
      </rPr>
      <t xml:space="preserve"> equivalente al 10% de las absorciones disponibles.</t>
    </r>
  </si>
  <si>
    <r>
      <t xml:space="preserve">A continuación se presentan las absorciones estimadas para todo el periodo clasificadas según los criterios y limitaciones establecidos en el Registro. Las </t>
    </r>
    <r>
      <rPr>
        <b/>
        <sz val="14"/>
        <color rgb="FF10069F"/>
        <rFont val="Arial Narrow"/>
        <family val="2"/>
      </rPr>
      <t>absorciones previstas al final del periodo de permanencia</t>
    </r>
    <r>
      <rPr>
        <sz val="11"/>
        <color indexed="8"/>
        <rFont val="Arial Narrow"/>
        <family val="2"/>
      </rPr>
      <t xml:space="preserve"> se corresponden con las absorciones inscritas (</t>
    </r>
    <r>
      <rPr>
        <b/>
        <sz val="14"/>
        <color rgb="FF10069F"/>
        <rFont val="Arial Narrow"/>
        <family val="2"/>
      </rPr>
      <t>A</t>
    </r>
    <r>
      <rPr>
        <sz val="11"/>
        <color indexed="8"/>
        <rFont val="Arial Narrow"/>
        <family val="2"/>
      </rPr>
      <t xml:space="preserve">) . 
De éstas, el promotor del proyecto únicamente podrá retirar  la totalidad o parte de las </t>
    </r>
    <r>
      <rPr>
        <b/>
        <sz val="14"/>
        <color rgb="FF10069F"/>
        <rFont val="Arial Narrow"/>
        <family val="2"/>
      </rPr>
      <t>absorciones disponibles</t>
    </r>
    <r>
      <rPr>
        <sz val="11"/>
        <color indexed="8"/>
        <rFont val="Arial Narrow"/>
        <family val="2"/>
      </rPr>
      <t xml:space="preserve">. Para obtener las </t>
    </r>
    <r>
      <rPr>
        <sz val="11"/>
        <rFont val="Arial Narrow"/>
        <family val="2"/>
      </rPr>
      <t>absorciones disponibles</t>
    </r>
    <r>
      <rPr>
        <sz val="11"/>
        <color indexed="8"/>
        <rFont val="Arial Narrow"/>
        <family val="2"/>
      </rPr>
      <t>, se aplicarán dos descuentos sobre la</t>
    </r>
    <r>
      <rPr>
        <sz val="11"/>
        <rFont val="Arial Narrow"/>
        <family val="2"/>
      </rPr>
      <t>s absorciones estimadas al final del periodo de permanencia :</t>
    </r>
  </si>
  <si>
    <r>
      <t xml:space="preserve">CALCULADORA DE ABSORCIONES </t>
    </r>
    <r>
      <rPr>
        <b/>
        <i/>
        <sz val="20"/>
        <color theme="0"/>
        <rFont val="Arial Narrow"/>
        <family val="2"/>
      </rPr>
      <t>EX ANTE</t>
    </r>
    <r>
      <rPr>
        <b/>
        <sz val="20"/>
        <color theme="0"/>
        <rFont val="Arial Narrow"/>
        <family val="2"/>
      </rPr>
      <t xml:space="preserve"> DE DIÓXIDO DE CARBONO DE LAS ESPECIES FORESTALES ARBÓREAS EN EL PRINCIPADO DE ASTURIAS</t>
    </r>
  </si>
  <si>
    <r>
      <t xml:space="preserve">                                                                    1. CALCULADORA DE ABSORCIONES </t>
    </r>
    <r>
      <rPr>
        <b/>
        <i/>
        <sz val="14"/>
        <color theme="0"/>
        <rFont val="Arial Narrow"/>
        <family val="2"/>
      </rPr>
      <t>EX ANTE</t>
    </r>
    <r>
      <rPr>
        <b/>
        <sz val="14"/>
        <color theme="0"/>
        <rFont val="Arial Narrow"/>
        <family val="2"/>
      </rPr>
      <t xml:space="preserve"> DE CO</t>
    </r>
    <r>
      <rPr>
        <b/>
        <vertAlign val="subscript"/>
        <sz val="14"/>
        <color theme="0"/>
        <rFont val="Arial Narrow"/>
        <family val="2"/>
      </rPr>
      <t>2</t>
    </r>
    <r>
      <rPr>
        <b/>
        <sz val="14"/>
        <color theme="0"/>
        <rFont val="Arial Narrow"/>
        <family val="2"/>
      </rPr>
      <t xml:space="preserve"> DE LAS ESPECIES FORESTALES ARBÓREAS
                                                                                                                                 EN EL PRINCIPADO DE ASTURIAS</t>
    </r>
  </si>
  <si>
    <r>
      <t>Periodo de permanencia</t>
    </r>
    <r>
      <rPr>
        <b/>
        <vertAlign val="superscript"/>
        <sz val="11"/>
        <color indexed="9"/>
        <rFont val="Arial Narrow"/>
        <family val="2"/>
      </rPr>
      <t>1</t>
    </r>
  </si>
  <si>
    <t>La información que puede incluir más abajo permite la obtención de estimaciones para proyectos más complejos en los que se realizan plantaciones en años sucesivos. Tenga en cuenta que, aunque cumplimente estos campos, no podrá inscribir de manera conjunta las absorciones obtenidas, ya que cada año se debe inscribir como proyecto independiente. Únicamente se ofrece esta posibilidad de cálculo a título informativo.</t>
  </si>
  <si>
    <r>
      <t xml:space="preserve">                 2. CALCULADORA DE ABSORCIONES </t>
    </r>
    <r>
      <rPr>
        <b/>
        <i/>
        <sz val="14"/>
        <color theme="0"/>
        <rFont val="Arial Narrow"/>
        <family val="2"/>
      </rPr>
      <t>EX ANTE</t>
    </r>
    <r>
      <rPr>
        <b/>
        <sz val="14"/>
        <color theme="0"/>
        <rFont val="Arial Narrow"/>
        <family val="2"/>
      </rPr>
      <t xml:space="preserve"> DE CO</t>
    </r>
    <r>
      <rPr>
        <b/>
        <vertAlign val="subscript"/>
        <sz val="14"/>
        <color theme="0"/>
        <rFont val="Arial Narrow"/>
        <family val="2"/>
      </rPr>
      <t>2</t>
    </r>
    <r>
      <rPr>
        <b/>
        <sz val="14"/>
        <color theme="0"/>
        <rFont val="Arial Narrow"/>
        <family val="2"/>
      </rPr>
      <t xml:space="preserve"> DE LAS ESPECIES FORESTALES ARBÓREAS  
    EN EL PRINCIPADO DE ASTURIAS</t>
    </r>
  </si>
  <si>
    <r>
      <t xml:space="preserve">                                                       REVISIONES DE LA CALCULADORA DE ABSORCIONES</t>
    </r>
    <r>
      <rPr>
        <b/>
        <i/>
        <sz val="14"/>
        <color theme="0"/>
        <rFont val="Arial Narrow"/>
        <family val="2"/>
      </rPr>
      <t xml:space="preserve"> EX ANTE</t>
    </r>
    <r>
      <rPr>
        <b/>
        <sz val="14"/>
        <color theme="0"/>
        <rFont val="Arial Narrow"/>
        <family val="2"/>
      </rPr>
      <t xml:space="preserve"> DE CO</t>
    </r>
    <r>
      <rPr>
        <b/>
        <vertAlign val="subscript"/>
        <sz val="14"/>
        <color theme="0"/>
        <rFont val="Arial Narrow"/>
        <family val="2"/>
      </rPr>
      <t>2</t>
    </r>
    <r>
      <rPr>
        <b/>
        <sz val="14"/>
        <color theme="0"/>
        <rFont val="Arial Narrow"/>
        <family val="2"/>
      </rPr>
      <t xml:space="preserve"> DE LAS ESPECIES FORESTALES ARBÓREAS
                                                                                                                                     EN EL PRINCIPADO DE ASTURIAS</t>
    </r>
  </si>
  <si>
    <t>Fecha</t>
  </si>
  <si>
    <r>
      <t xml:space="preserve">                                                                       3. CALCULADORA DE ABSORCIONES</t>
    </r>
    <r>
      <rPr>
        <b/>
        <i/>
        <sz val="14"/>
        <color theme="0"/>
        <rFont val="Arial Narrow"/>
        <family val="2"/>
      </rPr>
      <t xml:space="preserve"> EX ANTE </t>
    </r>
    <r>
      <rPr>
        <b/>
        <sz val="14"/>
        <color theme="0"/>
        <rFont val="Arial Narrow"/>
        <family val="2"/>
      </rPr>
      <t>DE CO</t>
    </r>
    <r>
      <rPr>
        <b/>
        <vertAlign val="subscript"/>
        <sz val="14"/>
        <color theme="0"/>
        <rFont val="Arial Narrow"/>
        <family val="2"/>
      </rPr>
      <t>2</t>
    </r>
    <r>
      <rPr>
        <b/>
        <sz val="14"/>
        <color theme="0"/>
        <rFont val="Arial Narrow"/>
        <family val="2"/>
      </rPr>
      <t xml:space="preserve"> DE LAS ESPECIES FORESTALES ARBÓREAS EN EL PRINCIPADO DE ASTURIAS</t>
    </r>
  </si>
  <si>
    <r>
      <t xml:space="preserve">Revisión de la calculadora del MITERD. Se añaden factores de absorción específicos para el Principado de Asturias en las especies: </t>
    </r>
    <r>
      <rPr>
        <i/>
        <sz val="11"/>
        <rFont val="Arial Narrow"/>
        <family val="2"/>
      </rPr>
      <t xml:space="preserve">Castanea sativa, Eucalyptus globulus, Pinus pinaster </t>
    </r>
    <r>
      <rPr>
        <sz val="11"/>
        <rFont val="Arial Narrow"/>
        <family val="2"/>
      </rPr>
      <t>y</t>
    </r>
    <r>
      <rPr>
        <i/>
        <sz val="11"/>
        <rFont val="Arial Narrow"/>
        <family val="2"/>
      </rPr>
      <t xml:space="preserve"> Pinus radiata</t>
    </r>
    <r>
      <rPr>
        <sz val="11"/>
        <rFont val="Arial Narrow"/>
        <family val="2"/>
      </rPr>
      <t>.</t>
    </r>
  </si>
  <si>
    <t>Betula alba Galicia</t>
  </si>
  <si>
    <t>Modelo dinámico y tablas producción (8) Galicia</t>
  </si>
  <si>
    <t>Pinus sylvestris Galicia</t>
  </si>
  <si>
    <t>Modelo dinámico y ecuación volumen (8) Galicia</t>
  </si>
  <si>
    <t>Quercus robur Galicia</t>
  </si>
  <si>
    <r>
      <t xml:space="preserve">Quercus robur </t>
    </r>
    <r>
      <rPr>
        <sz val="11"/>
        <rFont val="Arial Narrow"/>
        <family val="2"/>
      </rPr>
      <t>Galicia</t>
    </r>
  </si>
  <si>
    <t>Pseudotsuga menziesii Galicia</t>
  </si>
  <si>
    <r>
      <t xml:space="preserve">Betula alba </t>
    </r>
    <r>
      <rPr>
        <sz val="10"/>
        <rFont val="Arial Narrow"/>
        <family val="2"/>
      </rPr>
      <t>Galicia</t>
    </r>
  </si>
  <si>
    <r>
      <t xml:space="preserve">Pinus sylvestris </t>
    </r>
    <r>
      <rPr>
        <sz val="10"/>
        <rFont val="Arial Narrow"/>
        <family val="2"/>
      </rPr>
      <t>Galicia</t>
    </r>
  </si>
  <si>
    <r>
      <t xml:space="preserve">Quercus robur </t>
    </r>
    <r>
      <rPr>
        <sz val="10"/>
        <rFont val="Arial Narrow"/>
        <family val="2"/>
      </rPr>
      <t>Galicia</t>
    </r>
  </si>
  <si>
    <t>(10)</t>
  </si>
  <si>
    <t>(11)</t>
  </si>
  <si>
    <t>(12)</t>
  </si>
  <si>
    <t>(13)</t>
  </si>
  <si>
    <t>Diéguez-Aranda, U., Grandas-Arias, J.A., Álvarez González, J.G., &amp; Gadow, K.v. (2006). Site quality curves for birch stands in north-western Spain. Silva Fennica 40(4), 631-644.</t>
  </si>
  <si>
    <t>(14)</t>
  </si>
  <si>
    <r>
      <t>Diéguez-Aranda, U., Castedo-Dorado, F., Álvarez González, J.G., Rojo, A. (2006). Dynamic growth model for Scots pine (</t>
    </r>
    <r>
      <rPr>
        <i/>
        <sz val="11"/>
        <rFont val="Arial Narrow"/>
        <family val="2"/>
      </rPr>
      <t>Pinus sylvestris</t>
    </r>
    <r>
      <rPr>
        <sz val="11"/>
        <rFont val="Arial Narrow"/>
        <family val="2"/>
      </rPr>
      <t xml:space="preserve"> L.) plantations in Galicia (north-western Spain). Ecological Modelling 191(2), 225–242.</t>
    </r>
  </si>
  <si>
    <r>
      <t>Barrio-Anta, M., &amp; Diéguez-Aranda, U. (2005). Site quality of pedunculate oak (</t>
    </r>
    <r>
      <rPr>
        <i/>
        <sz val="11"/>
        <rFont val="Arial Narrow"/>
        <family val="2"/>
      </rPr>
      <t>Quercus robur</t>
    </r>
    <r>
      <rPr>
        <sz val="11"/>
        <rFont val="Arial Narrow"/>
        <family val="2"/>
      </rPr>
      <t xml:space="preserve"> L.) stands in Galicia (northwest Spain). European Journal of Forest Research 124, 19-28.</t>
    </r>
  </si>
  <si>
    <r>
      <rPr>
        <sz val="12"/>
        <rFont val="Arial Narrow"/>
        <family val="2"/>
      </rPr>
      <t xml:space="preserve">López-Sánchez, C.A. (2009). Estado selvícola y modelos de crecimiento y gestión de plantaciones de </t>
    </r>
    <r>
      <rPr>
        <i/>
        <sz val="12"/>
        <rFont val="Arial Narrow"/>
        <family val="2"/>
      </rPr>
      <t>Pseudotsuga menziesii</t>
    </r>
    <r>
      <rPr>
        <sz val="12"/>
        <rFont val="Arial Narrow"/>
        <family val="2"/>
      </rPr>
      <t xml:space="preserve"> (Mirb.) Franco en España. Tesis Doctoral. Universidad de Santiago de Compostela.</t>
    </r>
  </si>
  <si>
    <t>Modelo dinámico y tablas producción Galicia (5) (6)</t>
  </si>
  <si>
    <t xml:space="preserve">Modelo dinámico y tablas de producción Asturias (7) (8) </t>
  </si>
  <si>
    <t>Modelo dinámico y ecuación volumen Asturias (10)</t>
  </si>
  <si>
    <t>Tablas de producción Asturias (11)</t>
  </si>
  <si>
    <t>Modelo dinámico y ecuación volumen Galicia (12)</t>
  </si>
  <si>
    <t>Modelo dinámico y tablas producción Galicia (14)</t>
  </si>
  <si>
    <t>V2</t>
  </si>
  <si>
    <r>
      <t>Rojo, A., Álvarez González, J.G., Grandas-Arias, J.A., &amp; Diéguez-Aranda, U. (2005). Tablas de producción de selvicultura media para el abedul (</t>
    </r>
    <r>
      <rPr>
        <i/>
        <sz val="11"/>
        <color rgb="FF000000"/>
        <rFont val="Arial Narrow"/>
        <family val="2"/>
      </rPr>
      <t>Betula alba</t>
    </r>
    <r>
      <rPr>
        <sz val="11"/>
        <color indexed="8"/>
        <rFont val="Arial Narrow"/>
        <family val="2"/>
      </rPr>
      <t xml:space="preserve"> L.) en Galicia. IV Congreso Forestal Nacional. Zaragoza, 26-30 septiembre 2005.</t>
    </r>
  </si>
  <si>
    <r>
      <t xml:space="preserve">Rodil, M. A. (2015). Development of a dynamic stand growth model and optimization of the management of </t>
    </r>
    <r>
      <rPr>
        <i/>
        <sz val="11"/>
        <color rgb="FF000000"/>
        <rFont val="Arial Narrow"/>
        <family val="2"/>
      </rPr>
      <t>Pinus pinaster</t>
    </r>
    <r>
      <rPr>
        <sz val="11"/>
        <color indexed="8"/>
        <rFont val="Arial Narrow"/>
        <family val="2"/>
      </rPr>
      <t xml:space="preserve"> Ait. in Asturias. Tesis doctoral. Universidad de Santiago de Compostela.</t>
    </r>
  </si>
  <si>
    <t>Lista concejos</t>
  </si>
  <si>
    <t>Concejo</t>
  </si>
  <si>
    <r>
      <rPr>
        <b/>
        <sz val="12.5"/>
        <color theme="4" tint="-0.499984740745262"/>
        <rFont val="Arial Narrow"/>
        <family val="2"/>
      </rPr>
      <t xml:space="preserve">Calculadora modificada por la Viceconsejería de Medio Ambiente y Cambio Climático del Principado de Asturias y la Fundación CETEMAS, tomando como referencia la herramienta del Ministerio para la Transición Ecológica y el Reto Demográfico para el cálculo de las absorciones de dióxiodo de carbono. 
Se actualizan los valores de absorciones para el Principado de Asturias en las especies </t>
    </r>
    <r>
      <rPr>
        <b/>
        <i/>
        <sz val="12.5"/>
        <color theme="4" tint="-0.499984740745262"/>
        <rFont val="Arial Narrow"/>
        <family val="2"/>
      </rPr>
      <t>Castanea sativa, Eucalyptus globulus, Pinus pinaster</t>
    </r>
    <r>
      <rPr>
        <b/>
        <sz val="12.5"/>
        <color theme="4" tint="-0.499984740745262"/>
        <rFont val="Arial Narrow"/>
        <family val="2"/>
      </rPr>
      <t xml:space="preserve"> y </t>
    </r>
    <r>
      <rPr>
        <b/>
        <i/>
        <sz val="12.5"/>
        <color theme="4" tint="-0.499984740745262"/>
        <rFont val="Arial Narrow"/>
        <family val="2"/>
      </rPr>
      <t xml:space="preserve">Pinus radiata, </t>
    </r>
    <r>
      <rPr>
        <b/>
        <sz val="12.5"/>
        <color theme="4" tint="-0.499984740745262"/>
        <rFont val="Arial Narrow"/>
        <family val="2"/>
      </rPr>
      <t>de Galicia</t>
    </r>
    <r>
      <rPr>
        <b/>
        <i/>
        <sz val="12.5"/>
        <color theme="4" tint="-0.499984740745262"/>
        <rFont val="Arial Narrow"/>
        <family val="2"/>
      </rPr>
      <t xml:space="preserve"> para Betula alba, Pinus sylvestris </t>
    </r>
    <r>
      <rPr>
        <b/>
        <sz val="12.5"/>
        <color theme="4" tint="-0.499984740745262"/>
        <rFont val="Arial Narrow"/>
        <family val="2"/>
      </rPr>
      <t>y</t>
    </r>
    <r>
      <rPr>
        <b/>
        <i/>
        <sz val="12.5"/>
        <color theme="4" tint="-0.499984740745262"/>
        <rFont val="Arial Narrow"/>
        <family val="2"/>
      </rPr>
      <t xml:space="preserve"> Quercus robur </t>
    </r>
    <r>
      <rPr>
        <b/>
        <sz val="12.5"/>
        <color theme="4" tint="-0.499984740745262"/>
        <rFont val="Arial Narrow"/>
        <family val="2"/>
      </rPr>
      <t xml:space="preserve">y se incluye una actualización para </t>
    </r>
    <r>
      <rPr>
        <b/>
        <i/>
        <sz val="12.5"/>
        <color theme="4" tint="-0.499984740745262"/>
        <rFont val="Arial Narrow"/>
        <family val="2"/>
      </rPr>
      <t xml:space="preserve">Pseudotsuga menziesii </t>
    </r>
    <r>
      <rPr>
        <b/>
        <sz val="12.5"/>
        <color theme="4" tint="-0.499984740745262"/>
        <rFont val="Arial Narrow"/>
        <family val="2"/>
      </rPr>
      <t>en España.</t>
    </r>
    <r>
      <rPr>
        <i/>
        <sz val="12.5"/>
        <color rgb="FFFF0000"/>
        <rFont val="Arial Narrow"/>
        <family val="2"/>
      </rPr>
      <t xml:space="preserve">
</t>
    </r>
  </si>
  <si>
    <t>Pseudotsuga menziesii (valor actualizado)</t>
  </si>
  <si>
    <r>
      <t xml:space="preserve">Revisión de la calculadora del MITERD. Se añaden factores de absorción específicos para Galicia en las especies: </t>
    </r>
    <r>
      <rPr>
        <i/>
        <sz val="11"/>
        <rFont val="Arial Narrow"/>
        <family val="2"/>
      </rPr>
      <t>Betula alba</t>
    </r>
    <r>
      <rPr>
        <sz val="11"/>
        <rFont val="Arial Narrow"/>
        <family val="2"/>
      </rPr>
      <t xml:space="preserve">, </t>
    </r>
    <r>
      <rPr>
        <i/>
        <sz val="11"/>
        <rFont val="Arial Narrow"/>
        <family val="2"/>
      </rPr>
      <t xml:space="preserve">Pinus sylvestris, Quercus robur </t>
    </r>
    <r>
      <rPr>
        <sz val="11"/>
        <rFont val="Arial Narrow"/>
        <family val="2"/>
      </rPr>
      <t>y un valor actualizado de</t>
    </r>
    <r>
      <rPr>
        <i/>
        <sz val="11"/>
        <rFont val="Arial Narrow"/>
        <family val="2"/>
      </rPr>
      <t xml:space="preserve"> Pseudotsuga menziesii</t>
    </r>
    <r>
      <rPr>
        <sz val="11"/>
        <rFont val="Arial Narrow"/>
        <family val="2"/>
      </rPr>
      <t>.</t>
    </r>
  </si>
  <si>
    <t>V.2</t>
  </si>
  <si>
    <r>
      <t xml:space="preserve">Un proyecto de absorción consistente en la creación de masas forestales genera absorciones año a año según va aumentando su biomasa. Conforme se van produciendo dichas absorciones, podrán ser cedidas a las organizaciones que deseen adquirirlas para compensar su huella de carbono. Son las </t>
    </r>
    <r>
      <rPr>
        <b/>
        <sz val="14"/>
        <color rgb="FF10069F"/>
        <rFont val="Arial Narrow"/>
        <family val="2"/>
      </rPr>
      <t xml:space="preserve">absorciones calculadas </t>
    </r>
    <r>
      <rPr>
        <b/>
        <i/>
        <sz val="14"/>
        <color rgb="FF10069F"/>
        <rFont val="Arial Narrow"/>
        <family val="2"/>
      </rPr>
      <t>ex post</t>
    </r>
    <r>
      <rPr>
        <sz val="12"/>
        <rFont val="Arial Narrow"/>
        <family val="2"/>
      </rPr>
      <t xml:space="preserve">, es decir, estimadas a partir de datos físicos de la masa (altura y diámetro de los pies) en el momento actual, absorciones que realmente se están produciendo en el momento en que se calculan.
Según el procedimiento que utiliza esta herramienta, de manera excepcional, un proyecto podrá ceder el 20% de las absorciones futuras que se han estimado, aunque estas no se hayan producido, es lo que se denomina </t>
    </r>
    <r>
      <rPr>
        <b/>
        <sz val="14"/>
        <color rgb="FF10069F"/>
        <rFont val="Arial Narrow"/>
        <family val="2"/>
      </rPr>
      <t>absorciones calculadas</t>
    </r>
    <r>
      <rPr>
        <b/>
        <sz val="14"/>
        <color indexed="17"/>
        <rFont val="Arial Narrow"/>
        <family val="2"/>
      </rPr>
      <t xml:space="preserve"> </t>
    </r>
    <r>
      <rPr>
        <b/>
        <i/>
        <sz val="14"/>
        <color rgb="FF10069F"/>
        <rFont val="Arial Narrow"/>
        <family val="2"/>
      </rPr>
      <t>ex ante</t>
    </r>
    <r>
      <rPr>
        <sz val="12"/>
        <rFont val="Arial Narrow"/>
        <family val="2"/>
      </rPr>
      <t>. Para ello la plantación que las generará debe haber tenido lugar.</t>
    </r>
  </si>
  <si>
    <r>
      <t xml:space="preserve">Pseudotsuga menziesii </t>
    </r>
    <r>
      <rPr>
        <sz val="10"/>
        <rFont val="Arial Narrow"/>
        <family val="2"/>
      </rPr>
      <t>(valor actualizado)</t>
    </r>
  </si>
  <si>
    <t>Modelo dinámico y tablas producción España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</si>
</sst>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00"/>
    <numFmt numFmtId="166" formatCode="#,##0.0"/>
    <numFmt numFmtId="167" formatCode="#,##0.000"/>
    <numFmt numFmtId="168" formatCode="0.0"/>
    <numFmt numFmtId="169" formatCode="0.0%"/>
  </numFmts>
  <fonts count="182" x14ac:knownFonts="1">
    <font>
      <sz val="11"/>
      <color theme="1"/>
      <name val="Calibri"/>
      <family val="2"/>
      <scheme val="minor"/>
    </font>
    <font>
      <sz val="11"/>
      <color indexed="8"/>
      <name val="Calibri"/>
      <family val="2"/>
    </font>
    <font>
      <sz val="11"/>
      <color indexed="9"/>
      <name val="Calibri"/>
      <family val="2"/>
    </font>
    <font>
      <sz val="10"/>
      <name val="Arial"/>
      <family val="2"/>
    </font>
    <font>
      <sz val="8"/>
      <name val="Arial"/>
      <family val="2"/>
    </font>
    <font>
      <i/>
      <sz val="8"/>
      <color indexed="8"/>
      <name val="Arial"/>
      <family val="2"/>
    </font>
    <font>
      <i/>
      <sz val="8"/>
      <name val="Arial"/>
      <family val="2"/>
    </font>
    <font>
      <vertAlign val="superscript"/>
      <sz val="11"/>
      <color indexed="9"/>
      <name val="Calibri"/>
      <family val="2"/>
    </font>
    <font>
      <vertAlign val="subscript"/>
      <sz val="11"/>
      <color indexed="9"/>
      <name val="Calibri"/>
      <family val="2"/>
    </font>
    <font>
      <vertAlign val="subscript"/>
      <sz val="11"/>
      <color indexed="8"/>
      <name val="Calibri"/>
      <family val="2"/>
    </font>
    <font>
      <vertAlign val="superscript"/>
      <sz val="11"/>
      <color indexed="8"/>
      <name val="Calibri"/>
      <family val="2"/>
    </font>
    <font>
      <i/>
      <sz val="11"/>
      <color indexed="8"/>
      <name val="Calibri"/>
      <family val="2"/>
    </font>
    <font>
      <sz val="8"/>
      <color indexed="60"/>
      <name val="Arial"/>
      <family val="2"/>
    </font>
    <font>
      <b/>
      <sz val="11"/>
      <color indexed="8"/>
      <name val="Calibri"/>
      <family val="2"/>
    </font>
    <font>
      <b/>
      <sz val="10"/>
      <name val="Arial"/>
      <family val="2"/>
    </font>
    <font>
      <b/>
      <vertAlign val="subscript"/>
      <sz val="10"/>
      <name val="Arial"/>
      <family val="2"/>
    </font>
    <font>
      <i/>
      <sz val="10"/>
      <name val="Arial"/>
      <family val="2"/>
    </font>
    <font>
      <sz val="10"/>
      <name val="Arial"/>
      <family val="2"/>
    </font>
    <font>
      <b/>
      <vertAlign val="superscript"/>
      <sz val="11"/>
      <color indexed="8"/>
      <name val="Calibri"/>
      <family val="2"/>
    </font>
    <font>
      <b/>
      <vertAlign val="subscript"/>
      <sz val="11"/>
      <color indexed="8"/>
      <name val="Calibri"/>
      <family val="2"/>
    </font>
    <font>
      <i/>
      <sz val="10"/>
      <name val="Calibri"/>
      <family val="2"/>
    </font>
    <font>
      <sz val="12"/>
      <color indexed="8"/>
      <name val="Times New Roman"/>
      <family val="1"/>
    </font>
    <font>
      <i/>
      <sz val="12"/>
      <color indexed="8"/>
      <name val="Times New Roman"/>
      <family val="1"/>
    </font>
    <font>
      <i/>
      <sz val="12"/>
      <color indexed="8"/>
      <name val="Calibri"/>
      <family val="2"/>
    </font>
    <font>
      <sz val="12"/>
      <color indexed="8"/>
      <name val="Calibri"/>
      <family val="2"/>
    </font>
    <font>
      <vertAlign val="subscript"/>
      <sz val="12"/>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name val="Calibri"/>
      <family val="2"/>
    </font>
    <font>
      <b/>
      <vertAlign val="subscript"/>
      <sz val="11"/>
      <name val="Calibri"/>
      <family val="2"/>
    </font>
    <font>
      <b/>
      <vertAlign val="subscript"/>
      <sz val="11"/>
      <color indexed="9"/>
      <name val="Calibri"/>
      <family val="2"/>
    </font>
    <font>
      <sz val="11"/>
      <color indexed="9"/>
      <name val="Calibri"/>
      <family val="2"/>
    </font>
    <font>
      <b/>
      <sz val="11"/>
      <color indexed="9"/>
      <name val="Calibri"/>
      <family val="2"/>
    </font>
    <font>
      <sz val="11"/>
      <color indexed="10"/>
      <name val="Calibri"/>
      <family val="2"/>
    </font>
    <font>
      <b/>
      <sz val="11"/>
      <color indexed="8"/>
      <name val="Calibri"/>
      <family val="2"/>
    </font>
    <font>
      <i/>
      <sz val="11"/>
      <color indexed="8"/>
      <name val="Calibri"/>
      <family val="2"/>
    </font>
    <font>
      <sz val="11"/>
      <name val="Calibri"/>
      <family val="2"/>
    </font>
    <font>
      <i/>
      <sz val="11"/>
      <name val="Calibri"/>
      <family val="2"/>
    </font>
    <font>
      <i/>
      <sz val="8"/>
      <color indexed="60"/>
      <name val="Arial"/>
      <family val="2"/>
    </font>
    <font>
      <b/>
      <sz val="10"/>
      <color indexed="60"/>
      <name val="Arial"/>
      <family val="2"/>
    </font>
    <font>
      <i/>
      <sz val="11"/>
      <color indexed="10"/>
      <name val="Calibri"/>
      <family val="2"/>
    </font>
    <font>
      <i/>
      <sz val="10"/>
      <color indexed="8"/>
      <name val="Calibri"/>
      <family val="2"/>
    </font>
    <font>
      <i/>
      <sz val="8"/>
      <color indexed="10"/>
      <name val="Arial"/>
      <family val="2"/>
    </font>
    <font>
      <i/>
      <sz val="10"/>
      <color indexed="10"/>
      <name val="Calibri"/>
      <family val="2"/>
    </font>
    <font>
      <sz val="10"/>
      <color indexed="8"/>
      <name val="Calibri"/>
      <family val="2"/>
    </font>
    <font>
      <sz val="10"/>
      <name val="Calibri"/>
      <family val="2"/>
    </font>
    <font>
      <i/>
      <sz val="10"/>
      <name val="Calibri"/>
      <family val="2"/>
    </font>
    <font>
      <i/>
      <sz val="10"/>
      <color indexed="60"/>
      <name val="Calibri"/>
      <family val="2"/>
    </font>
    <font>
      <sz val="10"/>
      <color indexed="8"/>
      <name val="Calibri"/>
      <family val="2"/>
    </font>
    <font>
      <b/>
      <i/>
      <sz val="11"/>
      <color indexed="10"/>
      <name val="Calibri"/>
      <family val="2"/>
    </font>
    <font>
      <b/>
      <sz val="11"/>
      <color indexed="10"/>
      <name val="Calibri"/>
      <family val="2"/>
    </font>
    <font>
      <sz val="10"/>
      <color indexed="60"/>
      <name val="Arial"/>
      <family val="2"/>
    </font>
    <font>
      <i/>
      <sz val="10"/>
      <color indexed="60"/>
      <name val="Arial"/>
      <family val="2"/>
    </font>
    <font>
      <sz val="11"/>
      <color indexed="60"/>
      <name val="Calibri"/>
      <family val="2"/>
    </font>
    <font>
      <sz val="12"/>
      <color indexed="8"/>
      <name val="Times New Roman"/>
      <family val="1"/>
    </font>
    <font>
      <b/>
      <sz val="11"/>
      <name val="Calibri"/>
      <family val="2"/>
    </font>
    <font>
      <i/>
      <sz val="10"/>
      <name val="Arial Narrow"/>
      <family val="2"/>
    </font>
    <font>
      <b/>
      <sz val="11"/>
      <name val="Arial Narrow"/>
      <family val="2"/>
    </font>
    <font>
      <sz val="11"/>
      <name val="Arial Narrow"/>
      <family val="2"/>
    </font>
    <font>
      <vertAlign val="subscript"/>
      <sz val="11"/>
      <name val="Arial Narrow"/>
      <family val="2"/>
    </font>
    <font>
      <i/>
      <sz val="11"/>
      <name val="Arial Narrow"/>
      <family val="2"/>
    </font>
    <font>
      <sz val="8"/>
      <name val="Calibri"/>
      <family val="2"/>
    </font>
    <font>
      <b/>
      <sz val="10"/>
      <name val="Arial Narrow"/>
      <family val="2"/>
    </font>
    <font>
      <u/>
      <sz val="11"/>
      <color indexed="12"/>
      <name val="Calibri"/>
      <family val="2"/>
    </font>
    <font>
      <b/>
      <sz val="11"/>
      <color indexed="9"/>
      <name val="Arial Narrow"/>
      <family val="2"/>
    </font>
    <font>
      <sz val="10"/>
      <name val="Arial Narrow"/>
      <family val="2"/>
    </font>
    <font>
      <b/>
      <vertAlign val="subscript"/>
      <sz val="11"/>
      <color indexed="9"/>
      <name val="Arial Narrow"/>
      <family val="2"/>
    </font>
    <font>
      <b/>
      <vertAlign val="subscript"/>
      <sz val="14"/>
      <color indexed="9"/>
      <name val="Arial Narrow"/>
      <family val="2"/>
    </font>
    <font>
      <b/>
      <sz val="14"/>
      <color indexed="9"/>
      <name val="Arial Narrow"/>
      <family val="2"/>
    </font>
    <font>
      <sz val="11"/>
      <color indexed="8"/>
      <name val="Arial Narrow"/>
      <family val="2"/>
    </font>
    <font>
      <i/>
      <sz val="11"/>
      <color indexed="8"/>
      <name val="Arial Narrow"/>
      <family val="2"/>
    </font>
    <font>
      <sz val="12"/>
      <name val="Arial Narrow"/>
      <family val="2"/>
    </font>
    <font>
      <b/>
      <vertAlign val="subscript"/>
      <sz val="11"/>
      <name val="Arial Narrow"/>
      <family val="2"/>
    </font>
    <font>
      <b/>
      <vertAlign val="subscript"/>
      <sz val="10"/>
      <color indexed="9"/>
      <name val="Arial Narrow"/>
      <family val="2"/>
    </font>
    <font>
      <b/>
      <sz val="10"/>
      <color indexed="9"/>
      <name val="Arial Narrow"/>
      <family val="2"/>
    </font>
    <font>
      <b/>
      <sz val="9"/>
      <name val="Arial Narrow"/>
      <family val="2"/>
    </font>
    <font>
      <vertAlign val="superscript"/>
      <sz val="11"/>
      <name val="Arial Narrow"/>
      <family val="2"/>
    </font>
    <font>
      <b/>
      <vertAlign val="superscript"/>
      <sz val="11"/>
      <color indexed="9"/>
      <name val="Arial Narrow"/>
      <family val="2"/>
    </font>
    <font>
      <b/>
      <vertAlign val="superscript"/>
      <sz val="10"/>
      <color indexed="9"/>
      <name val="Arial Narrow"/>
      <family val="2"/>
    </font>
    <font>
      <b/>
      <sz val="14"/>
      <color indexed="8"/>
      <name val="Arial Narrow"/>
      <family val="2"/>
    </font>
    <font>
      <b/>
      <sz val="22"/>
      <color indexed="62"/>
      <name val="Arial Narrow"/>
      <family val="2"/>
    </font>
    <font>
      <b/>
      <sz val="18"/>
      <color indexed="8"/>
      <name val="Arial Narrow"/>
      <family val="2"/>
    </font>
    <font>
      <sz val="14"/>
      <color indexed="8"/>
      <name val="Arial Narrow"/>
      <family val="2"/>
    </font>
    <font>
      <b/>
      <sz val="14"/>
      <color indexed="30"/>
      <name val="Arial Narrow"/>
      <family val="2"/>
    </font>
    <font>
      <sz val="11"/>
      <color indexed="30"/>
      <name val="Arial Narrow"/>
      <family val="2"/>
    </font>
    <font>
      <sz val="10"/>
      <color indexed="8"/>
      <name val="Arial"/>
      <family val="2"/>
    </font>
    <font>
      <sz val="16"/>
      <name val="Arial Narrow"/>
      <family val="2"/>
    </font>
    <font>
      <vertAlign val="superscript"/>
      <sz val="10"/>
      <name val="Arial Narrow"/>
      <family val="2"/>
    </font>
    <font>
      <b/>
      <sz val="12"/>
      <color indexed="9"/>
      <name val="Arial Narrow"/>
      <family val="2"/>
    </font>
    <font>
      <b/>
      <sz val="14"/>
      <color indexed="17"/>
      <name val="Arial Narrow"/>
      <family val="2"/>
    </font>
    <font>
      <b/>
      <sz val="16"/>
      <color indexed="9"/>
      <name val="Arial Narrow"/>
      <family val="2"/>
    </font>
    <font>
      <sz val="11"/>
      <color indexed="10"/>
      <name val="Calibri"/>
      <family val="2"/>
    </font>
    <font>
      <b/>
      <sz val="11"/>
      <color indexed="8"/>
      <name val="Calibri"/>
      <family val="2"/>
    </font>
    <font>
      <b/>
      <sz val="11"/>
      <color indexed="9"/>
      <name val="Arial Narrow"/>
      <family val="2"/>
    </font>
    <font>
      <sz val="11"/>
      <color indexed="8"/>
      <name val="Arial Narrow"/>
      <family val="2"/>
    </font>
    <font>
      <b/>
      <sz val="10"/>
      <color indexed="9"/>
      <name val="Arial Narrow"/>
      <family val="2"/>
    </font>
    <font>
      <sz val="10"/>
      <color indexed="8"/>
      <name val="Arial Narrow"/>
      <family val="2"/>
    </font>
    <font>
      <sz val="9"/>
      <color indexed="8"/>
      <name val="Arial Narrow"/>
      <family val="2"/>
    </font>
    <font>
      <sz val="11"/>
      <color indexed="53"/>
      <name val="Arial Narrow"/>
      <family val="2"/>
    </font>
    <font>
      <sz val="11"/>
      <color indexed="10"/>
      <name val="Arial Narrow"/>
      <family val="2"/>
    </font>
    <font>
      <b/>
      <sz val="12"/>
      <color indexed="8"/>
      <name val="Arial Narrow"/>
      <family val="2"/>
    </font>
    <font>
      <b/>
      <sz val="14"/>
      <color indexed="9"/>
      <name val="Arial Narrow"/>
      <family val="2"/>
    </font>
    <font>
      <b/>
      <sz val="12"/>
      <color indexed="9"/>
      <name val="Arial Narrow"/>
      <family val="2"/>
    </font>
    <font>
      <b/>
      <sz val="12"/>
      <color indexed="17"/>
      <name val="Arial Narrow"/>
      <family val="2"/>
    </font>
    <font>
      <b/>
      <sz val="11"/>
      <color indexed="17"/>
      <name val="Arial Narrow"/>
      <family val="2"/>
    </font>
    <font>
      <b/>
      <sz val="11"/>
      <color indexed="8"/>
      <name val="Arial Narrow"/>
      <family val="2"/>
    </font>
    <font>
      <b/>
      <sz val="11"/>
      <color indexed="30"/>
      <name val="Arial Narrow"/>
      <family val="2"/>
    </font>
    <font>
      <sz val="10"/>
      <name val="Calibri"/>
      <family val="2"/>
    </font>
    <font>
      <sz val="10"/>
      <color indexed="8"/>
      <name val="Calibri"/>
      <family val="2"/>
    </font>
    <font>
      <i/>
      <sz val="10"/>
      <color indexed="8"/>
      <name val="Calibri"/>
      <family val="2"/>
    </font>
    <font>
      <i/>
      <sz val="11"/>
      <color indexed="10"/>
      <name val="Calibri"/>
      <family val="2"/>
    </font>
    <font>
      <i/>
      <sz val="10"/>
      <color indexed="10"/>
      <name val="Calibri"/>
      <family val="2"/>
    </font>
    <font>
      <i/>
      <sz val="10"/>
      <name val="Calibri"/>
      <family val="2"/>
    </font>
    <font>
      <i/>
      <sz val="10"/>
      <color indexed="10"/>
      <name val="Calibri"/>
      <family val="2"/>
    </font>
    <font>
      <b/>
      <i/>
      <sz val="11"/>
      <color indexed="8"/>
      <name val="Calibri"/>
      <family val="2"/>
    </font>
    <font>
      <b/>
      <i/>
      <sz val="11"/>
      <color indexed="10"/>
      <name val="Calibri"/>
      <family val="2"/>
    </font>
    <font>
      <b/>
      <sz val="11"/>
      <color indexed="10"/>
      <name val="Calibri"/>
      <family val="2"/>
    </font>
    <font>
      <i/>
      <sz val="10"/>
      <color indexed="8"/>
      <name val="Arial Narrow"/>
      <family val="2"/>
    </font>
    <font>
      <i/>
      <sz val="9"/>
      <color indexed="8"/>
      <name val="Arial Narrow"/>
      <family val="2"/>
    </font>
    <font>
      <sz val="12.5"/>
      <name val="Arial Narrow"/>
      <family val="2"/>
    </font>
    <font>
      <b/>
      <vertAlign val="subscript"/>
      <sz val="13"/>
      <color indexed="9"/>
      <name val="Arial Narrow"/>
      <family val="2"/>
    </font>
    <font>
      <b/>
      <sz val="13"/>
      <color indexed="9"/>
      <name val="Arial Narrow"/>
      <family val="2"/>
    </font>
    <font>
      <sz val="8"/>
      <color indexed="8"/>
      <name val="Arial Narrow"/>
      <family val="2"/>
    </font>
    <font>
      <b/>
      <sz val="10"/>
      <color indexed="57"/>
      <name val="Arial Narrow"/>
      <family val="2"/>
    </font>
    <font>
      <b/>
      <sz val="10"/>
      <color indexed="8"/>
      <name val="Arial Narrow"/>
      <family val="2"/>
    </font>
    <font>
      <b/>
      <sz val="13"/>
      <name val="Arial Narrow"/>
      <family val="2"/>
    </font>
    <font>
      <sz val="14"/>
      <name val="Arial Narrow"/>
      <family val="2"/>
    </font>
    <font>
      <sz val="11"/>
      <color theme="1"/>
      <name val="Calibri"/>
      <family val="2"/>
      <scheme val="minor"/>
    </font>
    <font>
      <b/>
      <sz val="36"/>
      <color rgb="FFFF0000"/>
      <name val="Arial Narrow"/>
      <family val="2"/>
    </font>
    <font>
      <sz val="11"/>
      <color rgb="FF339966"/>
      <name val="Arial Narrow"/>
      <family val="2"/>
    </font>
    <font>
      <b/>
      <sz val="11"/>
      <color rgb="FF339966"/>
      <name val="Arial Narrow"/>
      <family val="2"/>
    </font>
    <font>
      <b/>
      <sz val="14"/>
      <color rgb="FF339966"/>
      <name val="Arial Narrow"/>
      <family val="2"/>
    </font>
    <font>
      <sz val="11"/>
      <color rgb="FFFF0000"/>
      <name val="Arial Narrow"/>
      <family val="2"/>
    </font>
    <font>
      <b/>
      <sz val="16"/>
      <color theme="0"/>
      <name val="Arial Narrow"/>
      <family val="2"/>
    </font>
    <font>
      <b/>
      <sz val="11"/>
      <color theme="0"/>
      <name val="Arial Narrow"/>
      <family val="2"/>
    </font>
    <font>
      <sz val="11"/>
      <color rgb="FFCCFFCC"/>
      <name val="Arial Narrow"/>
      <family val="2"/>
    </font>
    <font>
      <b/>
      <sz val="13"/>
      <color theme="0"/>
      <name val="Arial Narrow"/>
      <family val="2"/>
    </font>
    <font>
      <sz val="11"/>
      <color rgb="FF99FFCC"/>
      <name val="Arial Narrow"/>
      <family val="2"/>
    </font>
    <font>
      <sz val="10"/>
      <color rgb="FFCCFFCC"/>
      <name val="Arial Narrow"/>
      <family val="2"/>
    </font>
    <font>
      <i/>
      <sz val="11"/>
      <color rgb="FF000000"/>
      <name val="Arial Narrow"/>
      <family val="2"/>
    </font>
    <font>
      <sz val="11"/>
      <color rgb="FF006100"/>
      <name val="Calibri"/>
      <family val="2"/>
      <scheme val="minor"/>
    </font>
    <font>
      <sz val="12.5"/>
      <color rgb="FFFF0000"/>
      <name val="Arial Narrow"/>
      <family val="2"/>
    </font>
    <font>
      <b/>
      <sz val="12.5"/>
      <color theme="4" tint="-0.499984740745262"/>
      <name val="Arial Narrow"/>
      <family val="2"/>
    </font>
    <font>
      <b/>
      <sz val="10"/>
      <color rgb="FF10069F"/>
      <name val="Arial Narrow"/>
      <family val="2"/>
    </font>
    <font>
      <sz val="11"/>
      <color rgb="FF10069F"/>
      <name val="Arial Narrow"/>
      <family val="2"/>
    </font>
    <font>
      <b/>
      <sz val="14"/>
      <color rgb="FF10069F"/>
      <name val="Arial Narrow"/>
      <family val="2"/>
    </font>
    <font>
      <b/>
      <sz val="16"/>
      <color rgb="FF10069F"/>
      <name val="Arial Narrow"/>
      <family val="2"/>
    </font>
    <font>
      <b/>
      <i/>
      <sz val="14"/>
      <color rgb="FF10069F"/>
      <name val="Arial Narrow"/>
      <family val="2"/>
    </font>
    <font>
      <b/>
      <sz val="14"/>
      <color theme="0"/>
      <name val="Arial Narrow"/>
      <family val="2"/>
    </font>
    <font>
      <b/>
      <sz val="10"/>
      <color theme="0"/>
      <name val="Arial Narrow"/>
      <family val="2"/>
    </font>
    <font>
      <b/>
      <sz val="11"/>
      <color rgb="FF10069F"/>
      <name val="Arial Narrow"/>
      <family val="2"/>
    </font>
    <font>
      <sz val="11"/>
      <color theme="1"/>
      <name val="Arial Narrow"/>
      <family val="2"/>
    </font>
    <font>
      <sz val="10"/>
      <color theme="1"/>
      <name val="Arial Narrow"/>
      <family val="2"/>
    </font>
    <font>
      <sz val="11"/>
      <color rgb="FFC5D9F1"/>
      <name val="Arial Narrow"/>
      <family val="2"/>
    </font>
    <font>
      <b/>
      <vertAlign val="subscript"/>
      <sz val="11"/>
      <color rgb="FFC5D9F1"/>
      <name val="Arial Narrow"/>
      <family val="2"/>
    </font>
    <font>
      <b/>
      <sz val="11"/>
      <color rgb="FFC5D9F1"/>
      <name val="Arial Narrow"/>
      <family val="2"/>
    </font>
    <font>
      <sz val="10"/>
      <color rgb="FFC5D9F1"/>
      <name val="Arial Narrow"/>
      <family val="2"/>
    </font>
    <font>
      <b/>
      <sz val="14"/>
      <color rgb="FFC5D9F1"/>
      <name val="Arial Narrow"/>
      <family val="2"/>
    </font>
    <font>
      <b/>
      <vertAlign val="subscript"/>
      <sz val="14"/>
      <color rgb="FFC5D9F1"/>
      <name val="Arial Narrow"/>
      <family val="2"/>
    </font>
    <font>
      <b/>
      <sz val="10"/>
      <color rgb="FFC5D9F1"/>
      <name val="Arial Narrow"/>
      <family val="2"/>
    </font>
    <font>
      <b/>
      <sz val="20"/>
      <color theme="0"/>
      <name val="Arial Narrow"/>
      <family val="2"/>
    </font>
    <font>
      <b/>
      <i/>
      <sz val="20"/>
      <color theme="0"/>
      <name val="Arial Narrow"/>
      <family val="2"/>
    </font>
    <font>
      <b/>
      <sz val="18"/>
      <color theme="0"/>
      <name val="Arial Narrow"/>
      <family val="2"/>
    </font>
    <font>
      <b/>
      <i/>
      <sz val="14"/>
      <color theme="0"/>
      <name val="Arial Narrow"/>
      <family val="2"/>
    </font>
    <font>
      <b/>
      <vertAlign val="subscript"/>
      <sz val="14"/>
      <color theme="0"/>
      <name val="Arial Narrow"/>
      <family val="2"/>
    </font>
    <font>
      <b/>
      <i/>
      <sz val="12.5"/>
      <color theme="4" tint="-0.499984740745262"/>
      <name val="Arial Narrow"/>
      <family val="2"/>
    </font>
    <font>
      <i/>
      <sz val="12"/>
      <name val="Arial Narrow"/>
      <family val="2"/>
    </font>
    <font>
      <sz val="9"/>
      <name val="Arial Narrow"/>
      <family val="2"/>
    </font>
    <font>
      <i/>
      <sz val="12.5"/>
      <color rgb="FFFF0000"/>
      <name val="Arial Narrow"/>
      <family val="2"/>
    </font>
    <font>
      <i/>
      <sz val="11"/>
      <color rgb="FFC5D9F1"/>
      <name val="Arial Narrow"/>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5"/>
        <bgColor indexed="64"/>
      </patternFill>
    </fill>
    <fill>
      <patternFill patternType="solid">
        <fgColor indexed="27"/>
        <bgColor indexed="64"/>
      </patternFill>
    </fill>
    <fill>
      <patternFill patternType="solid">
        <fgColor indexed="60"/>
        <bgColor indexed="64"/>
      </patternFill>
    </fill>
    <fill>
      <patternFill patternType="solid">
        <fgColor indexed="10"/>
        <bgColor indexed="64"/>
      </patternFill>
    </fill>
    <fill>
      <patternFill patternType="solid">
        <fgColor indexed="51"/>
        <bgColor indexed="64"/>
      </patternFill>
    </fill>
    <fill>
      <patternFill patternType="solid">
        <fgColor indexed="13"/>
        <bgColor indexed="64"/>
      </patternFill>
    </fill>
    <fill>
      <patternFill patternType="solid">
        <fgColor indexed="50"/>
        <bgColor indexed="64"/>
      </patternFill>
    </fill>
    <fill>
      <patternFill patternType="solid">
        <fgColor indexed="47"/>
        <bgColor indexed="64"/>
      </patternFill>
    </fill>
    <fill>
      <patternFill patternType="solid">
        <fgColor indexed="11"/>
        <bgColor indexed="64"/>
      </patternFill>
    </fill>
    <fill>
      <patternFill patternType="solid">
        <fgColor indexed="42"/>
        <bgColor indexed="64"/>
      </patternFill>
    </fill>
    <fill>
      <patternFill patternType="solid">
        <fgColor indexed="53"/>
        <bgColor indexed="64"/>
      </patternFill>
    </fill>
    <fill>
      <patternFill patternType="solid">
        <fgColor indexed="41"/>
        <bgColor indexed="64"/>
      </patternFill>
    </fill>
    <fill>
      <patternFill patternType="solid">
        <fgColor indexed="44"/>
        <bgColor indexed="64"/>
      </patternFill>
    </fill>
    <fill>
      <patternFill patternType="solid">
        <fgColor indexed="9"/>
        <bgColor indexed="64"/>
      </patternFill>
    </fill>
    <fill>
      <patternFill patternType="solid">
        <fgColor indexed="46"/>
        <bgColor indexed="64"/>
      </patternFill>
    </fill>
    <fill>
      <patternFill patternType="solid">
        <fgColor indexed="5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4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theme="3" tint="0.79998168889431442"/>
        <bgColor indexed="64"/>
      </patternFill>
    </fill>
    <fill>
      <patternFill patternType="solid">
        <fgColor rgb="FF10069F"/>
        <bgColor indexed="64"/>
      </patternFill>
    </fill>
    <fill>
      <patternFill patternType="solid">
        <fgColor rgb="FFC5D9F1"/>
        <bgColor indexed="64"/>
      </patternFill>
    </fill>
    <fill>
      <patternFill patternType="solid">
        <fgColor rgb="FFFFC000"/>
        <bgColor indexed="64"/>
      </patternFill>
    </fill>
  </fills>
  <borders count="7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9"/>
      </left>
      <right style="thin">
        <color indexed="23"/>
      </right>
      <top style="thin">
        <color indexed="23"/>
      </top>
      <bottom style="thin">
        <color indexed="23"/>
      </bottom>
      <diagonal/>
    </border>
    <border>
      <left style="thin">
        <color indexed="9"/>
      </left>
      <right style="thin">
        <color indexed="9"/>
      </right>
      <top style="thin">
        <color indexed="23"/>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style="thin">
        <color indexed="23"/>
      </top>
      <bottom style="thin">
        <color indexed="23"/>
      </bottom>
      <diagonal/>
    </border>
    <border>
      <left/>
      <right style="thin">
        <color indexed="64"/>
      </right>
      <top/>
      <bottom/>
      <diagonal/>
    </border>
    <border>
      <left/>
      <right style="thin">
        <color indexed="9"/>
      </right>
      <top style="thin">
        <color indexed="9"/>
      </top>
      <bottom style="thin">
        <color indexed="9"/>
      </bottom>
      <diagonal/>
    </border>
    <border>
      <left/>
      <right style="thin">
        <color indexed="64"/>
      </right>
      <top/>
      <bottom style="thin">
        <color indexed="64"/>
      </bottom>
      <diagonal/>
    </border>
    <border>
      <left style="thin">
        <color indexed="23"/>
      </left>
      <right/>
      <top style="thin">
        <color indexed="23"/>
      </top>
      <bottom style="thin">
        <color indexed="23"/>
      </bottom>
      <diagonal/>
    </border>
    <border>
      <left style="thin">
        <color indexed="9"/>
      </left>
      <right/>
      <top/>
      <bottom/>
      <diagonal/>
    </border>
    <border>
      <left style="thin">
        <color indexed="9"/>
      </left>
      <right style="thin">
        <color indexed="9"/>
      </right>
      <top style="thin">
        <color indexed="9"/>
      </top>
      <bottom/>
      <diagonal/>
    </border>
    <border>
      <left/>
      <right/>
      <top/>
      <bottom style="thin">
        <color indexed="23"/>
      </bottom>
      <diagonal/>
    </border>
    <border>
      <left style="thin">
        <color indexed="23"/>
      </left>
      <right style="thin">
        <color indexed="23"/>
      </right>
      <top style="thin">
        <color indexed="9"/>
      </top>
      <bottom style="thin">
        <color indexed="23"/>
      </bottom>
      <diagonal/>
    </border>
    <border>
      <left style="thin">
        <color indexed="9"/>
      </left>
      <right style="thin">
        <color indexed="9"/>
      </right>
      <top/>
      <bottom/>
      <diagonal/>
    </border>
    <border>
      <left style="thin">
        <color indexed="23"/>
      </left>
      <right style="thin">
        <color indexed="64"/>
      </right>
      <top style="thin">
        <color indexed="23"/>
      </top>
      <bottom style="thin">
        <color indexed="64"/>
      </bottom>
      <diagonal/>
    </border>
    <border>
      <left style="thin">
        <color indexed="23"/>
      </left>
      <right style="thin">
        <color indexed="9"/>
      </right>
      <top style="thin">
        <color indexed="23"/>
      </top>
      <bottom style="thin">
        <color indexed="23"/>
      </bottom>
      <diagonal/>
    </border>
    <border>
      <left/>
      <right/>
      <top style="thin">
        <color indexed="9"/>
      </top>
      <bottom/>
      <diagonal/>
    </border>
    <border>
      <left style="thin">
        <color indexed="9"/>
      </left>
      <right/>
      <top style="thin">
        <color indexed="9"/>
      </top>
      <bottom/>
      <diagonal/>
    </border>
    <border>
      <left style="thin">
        <color indexed="23"/>
      </left>
      <right/>
      <top/>
      <bottom/>
      <diagonal/>
    </border>
    <border>
      <left/>
      <right/>
      <top style="thin">
        <color indexed="23"/>
      </top>
      <bottom/>
      <diagonal/>
    </border>
    <border>
      <left style="thin">
        <color indexed="9"/>
      </left>
      <right style="thin">
        <color indexed="9"/>
      </right>
      <top/>
      <bottom style="thin">
        <color indexed="9"/>
      </bottom>
      <diagonal/>
    </border>
    <border>
      <left/>
      <right/>
      <top/>
      <bottom style="thin">
        <color indexed="64"/>
      </bottom>
      <diagonal/>
    </border>
    <border>
      <left/>
      <right/>
      <top style="thin">
        <color indexed="64"/>
      </top>
      <bottom style="thin">
        <color indexed="64"/>
      </bottom>
      <diagonal/>
    </border>
    <border>
      <left/>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bottom/>
      <diagonal/>
    </border>
    <border>
      <left style="thin">
        <color indexed="9"/>
      </left>
      <right style="thin">
        <color indexed="9"/>
      </right>
      <top/>
      <bottom style="thin">
        <color indexed="23"/>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style="thin">
        <color indexed="23"/>
      </bottom>
      <diagonal/>
    </border>
    <border>
      <left/>
      <right/>
      <top style="thin">
        <color indexed="9"/>
      </top>
      <bottom style="thin">
        <color indexed="23"/>
      </bottom>
      <diagonal/>
    </border>
    <border>
      <left/>
      <right style="thin">
        <color indexed="9"/>
      </right>
      <top style="thin">
        <color indexed="9"/>
      </top>
      <bottom style="thin">
        <color indexed="23"/>
      </bottom>
      <diagonal/>
    </border>
    <border>
      <left style="thin">
        <color indexed="23"/>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top style="thin">
        <color indexed="9"/>
      </top>
      <bottom style="thin">
        <color indexed="9"/>
      </bottom>
      <diagonal/>
    </border>
    <border>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right>
      <top/>
      <bottom/>
      <diagonal/>
    </border>
    <border>
      <left style="medium">
        <color rgb="FF10069F"/>
      </left>
      <right/>
      <top style="medium">
        <color rgb="FF10069F"/>
      </top>
      <bottom/>
      <diagonal/>
    </border>
    <border>
      <left/>
      <right/>
      <top style="medium">
        <color rgb="FF10069F"/>
      </top>
      <bottom/>
      <diagonal/>
    </border>
    <border>
      <left/>
      <right style="medium">
        <color rgb="FF10069F"/>
      </right>
      <top style="medium">
        <color rgb="FF10069F"/>
      </top>
      <bottom/>
      <diagonal/>
    </border>
    <border>
      <left style="medium">
        <color rgb="FF10069F"/>
      </left>
      <right/>
      <top/>
      <bottom style="medium">
        <color rgb="FF10069F"/>
      </bottom>
      <diagonal/>
    </border>
    <border>
      <left style="medium">
        <color rgb="FF10069F"/>
      </left>
      <right/>
      <top/>
      <bottom/>
      <diagonal/>
    </border>
    <border>
      <left/>
      <right style="medium">
        <color rgb="FF10069F"/>
      </right>
      <top/>
      <bottom/>
      <diagonal/>
    </border>
    <border>
      <left/>
      <right/>
      <top/>
      <bottom style="medium">
        <color rgb="FF10069F"/>
      </bottom>
      <diagonal/>
    </border>
    <border>
      <left/>
      <right style="medium">
        <color rgb="FF10069F"/>
      </right>
      <top/>
      <bottom style="medium">
        <color rgb="FF10069F"/>
      </bottom>
      <diagonal/>
    </border>
    <border>
      <left style="medium">
        <color rgb="FF10069F"/>
      </left>
      <right/>
      <top style="medium">
        <color rgb="FF10069F"/>
      </top>
      <bottom style="medium">
        <color rgb="FF10069F"/>
      </bottom>
      <diagonal/>
    </border>
    <border>
      <left/>
      <right/>
      <top style="medium">
        <color rgb="FF10069F"/>
      </top>
      <bottom style="medium">
        <color rgb="FF10069F"/>
      </bottom>
      <diagonal/>
    </border>
    <border>
      <left/>
      <right style="medium">
        <color rgb="FF10069F"/>
      </right>
      <top style="medium">
        <color rgb="FF10069F"/>
      </top>
      <bottom style="medium">
        <color rgb="FF10069F"/>
      </bottom>
      <diagonal/>
    </border>
    <border>
      <left/>
      <right style="thin">
        <color indexed="23"/>
      </right>
      <top style="thin">
        <color indexed="23"/>
      </top>
      <bottom style="thin">
        <color indexed="64"/>
      </bottom>
      <diagonal/>
    </border>
  </borders>
  <cellStyleXfs count="5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2"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36" fillId="0" borderId="0" applyNumberFormat="0" applyFill="0" applyBorder="0" applyAlignment="0" applyProtection="0"/>
    <xf numFmtId="0" fontId="26" fillId="4" borderId="0" applyNumberFormat="0" applyBorder="0" applyAlignment="0" applyProtection="0"/>
    <xf numFmtId="0" fontId="38" fillId="0" borderId="4" applyNumberFormat="0" applyFill="0" applyAlignment="0" applyProtection="0"/>
    <xf numFmtId="0" fontId="3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75" fillId="0" borderId="0" applyNumberFormat="0" applyFill="0" applyBorder="0" applyAlignment="0" applyProtection="0">
      <alignment vertical="top"/>
      <protection locked="0"/>
    </xf>
    <xf numFmtId="0" fontId="31" fillId="7" borderId="1" applyNumberFormat="0" applyAlignment="0" applyProtection="0"/>
    <xf numFmtId="0" fontId="29" fillId="0" borderId="3" applyNumberFormat="0" applyFill="0" applyAlignment="0" applyProtection="0"/>
    <xf numFmtId="164" fontId="3" fillId="0" borderId="0" applyFont="0" applyFill="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 fillId="0" borderId="0"/>
    <xf numFmtId="0" fontId="3" fillId="0" borderId="0"/>
    <xf numFmtId="0" fontId="139" fillId="0" borderId="0"/>
    <xf numFmtId="0" fontId="3" fillId="0" borderId="0"/>
    <xf numFmtId="0" fontId="1" fillId="23" borderId="7" applyNumberFormat="0" applyFont="0" applyAlignment="0" applyProtection="0"/>
    <xf numFmtId="0" fontId="34" fillId="20" borderId="8" applyNumberFormat="0" applyAlignment="0" applyProtection="0"/>
    <xf numFmtId="0" fontId="37" fillId="0" borderId="0" applyNumberFormat="0" applyFill="0" applyBorder="0" applyAlignment="0" applyProtection="0"/>
    <xf numFmtId="0" fontId="13" fillId="0" borderId="9" applyNumberFormat="0" applyFill="0" applyAlignment="0" applyProtection="0"/>
    <xf numFmtId="0" fontId="13" fillId="0" borderId="9" applyNumberFormat="0" applyFill="0" applyAlignment="0" applyProtection="0"/>
    <xf numFmtId="0" fontId="35" fillId="0" borderId="0" applyNumberFormat="0" applyFill="0" applyBorder="0" applyAlignment="0" applyProtection="0"/>
    <xf numFmtId="0" fontId="152" fillId="48" borderId="0" applyNumberFormat="0" applyBorder="0" applyAlignment="0" applyProtection="0"/>
    <xf numFmtId="164" fontId="3" fillId="0" borderId="0" applyFont="0" applyFill="0" applyBorder="0" applyAlignment="0" applyProtection="0"/>
  </cellStyleXfs>
  <cellXfs count="809">
    <xf numFmtId="0" fontId="0" fillId="0" borderId="0" xfId="0"/>
    <xf numFmtId="0" fontId="47" fillId="0" borderId="0" xfId="0" applyFont="1"/>
    <xf numFmtId="0" fontId="6" fillId="0" borderId="10" xfId="0" applyFont="1" applyBorder="1"/>
    <xf numFmtId="0" fontId="6" fillId="0" borderId="0" xfId="0" applyFont="1" applyFill="1" applyBorder="1"/>
    <xf numFmtId="0" fontId="0" fillId="0" borderId="0" xfId="0" applyFill="1"/>
    <xf numFmtId="0" fontId="6" fillId="0" borderId="10" xfId="0" applyFont="1" applyFill="1" applyBorder="1"/>
    <xf numFmtId="0" fontId="0" fillId="0" borderId="10" xfId="0" applyBorder="1"/>
    <xf numFmtId="0" fontId="0" fillId="0" borderId="10" xfId="0" applyBorder="1" applyAlignment="1">
      <alignment horizontal="center" vertical="center" wrapText="1"/>
    </xf>
    <xf numFmtId="0" fontId="0" fillId="0" borderId="0" xfId="0" applyAlignment="1">
      <alignment horizontal="center" vertical="center" wrapText="1"/>
    </xf>
    <xf numFmtId="0" fontId="47" fillId="0" borderId="10" xfId="0" applyFont="1" applyBorder="1" applyAlignment="1">
      <alignment horizontal="left" vertical="center" wrapText="1"/>
    </xf>
    <xf numFmtId="0" fontId="0" fillId="24" borderId="10" xfId="0" applyFill="1" applyBorder="1" applyAlignment="1">
      <alignment horizontal="center" vertical="center" wrapText="1"/>
    </xf>
    <xf numFmtId="0" fontId="0" fillId="24" borderId="10" xfId="0" applyFill="1" applyBorder="1" applyAlignment="1">
      <alignment horizontal="center" vertical="center"/>
    </xf>
    <xf numFmtId="0" fontId="48" fillId="0" borderId="10" xfId="0" applyFont="1" applyBorder="1"/>
    <xf numFmtId="0" fontId="0" fillId="26" borderId="10" xfId="0" applyFill="1" applyBorder="1"/>
    <xf numFmtId="165" fontId="43" fillId="27" borderId="10" xfId="0" applyNumberFormat="1" applyFont="1" applyFill="1" applyBorder="1" applyAlignment="1">
      <alignment horizontal="center" vertical="center" wrapText="1"/>
    </xf>
    <xf numFmtId="165" fontId="43" fillId="28" borderId="10" xfId="0" applyNumberFormat="1" applyFont="1" applyFill="1" applyBorder="1" applyAlignment="1">
      <alignment horizontal="center" vertical="center" wrapText="1"/>
    </xf>
    <xf numFmtId="165" fontId="0" fillId="29" borderId="10" xfId="0" applyNumberFormat="1" applyFill="1" applyBorder="1" applyAlignment="1">
      <alignment horizontal="center" vertical="center" wrapText="1"/>
    </xf>
    <xf numFmtId="165" fontId="0" fillId="30" borderId="10" xfId="0" applyNumberFormat="1" applyFill="1" applyBorder="1" applyAlignment="1">
      <alignment horizontal="center" vertical="center" wrapText="1"/>
    </xf>
    <xf numFmtId="165" fontId="0" fillId="31" borderId="10" xfId="0" applyNumberFormat="1" applyFill="1" applyBorder="1" applyAlignment="1">
      <alignment horizontal="center" vertical="center" wrapText="1"/>
    </xf>
    <xf numFmtId="165" fontId="0" fillId="0" borderId="10" xfId="0" applyNumberFormat="1" applyBorder="1"/>
    <xf numFmtId="165" fontId="0" fillId="0" borderId="0" xfId="0" applyNumberFormat="1"/>
    <xf numFmtId="165" fontId="48" fillId="0" borderId="10" xfId="0" applyNumberFormat="1" applyFont="1" applyBorder="1"/>
    <xf numFmtId="0" fontId="0" fillId="0" borderId="10" xfId="0" applyBorder="1" applyAlignment="1">
      <alignment horizontal="left" vertical="center" wrapText="1"/>
    </xf>
    <xf numFmtId="0" fontId="5" fillId="26" borderId="10" xfId="40" applyFont="1" applyFill="1" applyBorder="1" applyAlignment="1">
      <alignment wrapText="1"/>
    </xf>
    <xf numFmtId="0" fontId="0" fillId="32" borderId="10" xfId="0" applyFill="1" applyBorder="1" applyAlignment="1">
      <alignment horizontal="left" vertical="center" wrapText="1"/>
    </xf>
    <xf numFmtId="0" fontId="46" fillId="25" borderId="10" xfId="0" applyFont="1" applyFill="1" applyBorder="1" applyAlignment="1">
      <alignment horizontal="center" vertical="center" wrapText="1"/>
    </xf>
    <xf numFmtId="0" fontId="0" fillId="0" borderId="10" xfId="0" applyFont="1" applyBorder="1"/>
    <xf numFmtId="165" fontId="0" fillId="0" borderId="10" xfId="0" applyNumberFormat="1" applyFont="1" applyBorder="1"/>
    <xf numFmtId="165" fontId="48" fillId="0" borderId="10" xfId="0" applyNumberFormat="1" applyFont="1" applyFill="1" applyBorder="1"/>
    <xf numFmtId="165" fontId="48" fillId="0" borderId="10" xfId="0" applyNumberFormat="1" applyFont="1" applyFill="1" applyBorder="1" applyAlignment="1">
      <alignment horizontal="right"/>
    </xf>
    <xf numFmtId="0" fontId="50" fillId="32" borderId="10" xfId="40" applyFont="1" applyFill="1" applyBorder="1" applyAlignment="1">
      <alignment wrapText="1"/>
    </xf>
    <xf numFmtId="0" fontId="50" fillId="26" borderId="10" xfId="40" applyFont="1" applyFill="1" applyBorder="1" applyAlignment="1">
      <alignment wrapText="1"/>
    </xf>
    <xf numFmtId="0" fontId="50" fillId="26" borderId="11" xfId="40" applyFont="1" applyFill="1" applyBorder="1" applyAlignment="1">
      <alignment horizontal="left" vertical="center" wrapText="1"/>
    </xf>
    <xf numFmtId="4" fontId="0" fillId="0" borderId="10" xfId="0" applyNumberFormat="1" applyBorder="1"/>
    <xf numFmtId="0" fontId="46" fillId="24" borderId="10" xfId="0" applyFont="1" applyFill="1" applyBorder="1" applyAlignment="1">
      <alignment horizontal="center" vertical="center" wrapText="1"/>
    </xf>
    <xf numFmtId="0" fontId="0" fillId="0" borderId="12" xfId="0" applyBorder="1" applyAlignment="1">
      <alignment horizontal="left" vertical="center"/>
    </xf>
    <xf numFmtId="0" fontId="0" fillId="33" borderId="10" xfId="0" applyFill="1" applyBorder="1"/>
    <xf numFmtId="2" fontId="0" fillId="25" borderId="10" xfId="0" applyNumberFormat="1" applyFill="1" applyBorder="1" applyAlignment="1">
      <alignment horizontal="center" vertical="center" wrapText="1"/>
    </xf>
    <xf numFmtId="2" fontId="14" fillId="24" borderId="10" xfId="0" applyNumberFormat="1" applyFont="1" applyFill="1" applyBorder="1" applyAlignment="1">
      <alignment horizontal="center" vertical="center" wrapText="1"/>
    </xf>
    <xf numFmtId="2" fontId="14" fillId="34" borderId="10" xfId="0" applyNumberFormat="1" applyFont="1" applyFill="1" applyBorder="1" applyAlignment="1">
      <alignment horizontal="center" vertical="center" wrapText="1"/>
    </xf>
    <xf numFmtId="2" fontId="14" fillId="31" borderId="10" xfId="0" applyNumberFormat="1" applyFont="1" applyFill="1" applyBorder="1" applyAlignment="1">
      <alignment horizontal="center" vertical="center" wrapText="1"/>
    </xf>
    <xf numFmtId="2" fontId="14" fillId="35" borderId="10" xfId="0" applyNumberFormat="1" applyFont="1" applyFill="1" applyBorder="1" applyAlignment="1">
      <alignment horizontal="center" vertical="center" wrapText="1"/>
    </xf>
    <xf numFmtId="0" fontId="0" fillId="36" borderId="10" xfId="0" applyFill="1" applyBorder="1"/>
    <xf numFmtId="4" fontId="0" fillId="36" borderId="10" xfId="0" applyNumberFormat="1" applyFill="1" applyBorder="1"/>
    <xf numFmtId="0" fontId="16" fillId="0" borderId="10" xfId="0" applyFont="1" applyFill="1" applyBorder="1"/>
    <xf numFmtId="0" fontId="0" fillId="0" borderId="0" xfId="0" applyAlignment="1">
      <alignment horizontal="right"/>
    </xf>
    <xf numFmtId="0" fontId="14" fillId="34" borderId="10" xfId="0" applyFont="1" applyFill="1" applyBorder="1" applyAlignment="1">
      <alignment horizontal="center"/>
    </xf>
    <xf numFmtId="0" fontId="17" fillId="0" borderId="0" xfId="0" applyFont="1"/>
    <xf numFmtId="0" fontId="17" fillId="0" borderId="0" xfId="0" applyFont="1" applyFill="1" applyBorder="1"/>
    <xf numFmtId="0" fontId="51" fillId="0" borderId="0" xfId="0" applyFont="1" applyFill="1" applyBorder="1" applyAlignment="1">
      <alignment horizontal="left"/>
    </xf>
    <xf numFmtId="2" fontId="0" fillId="0" borderId="10" xfId="0" applyNumberFormat="1" applyBorder="1"/>
    <xf numFmtId="0" fontId="47" fillId="0" borderId="10" xfId="0" applyFont="1" applyBorder="1" applyAlignment="1">
      <alignment horizontal="center" vertical="center"/>
    </xf>
    <xf numFmtId="0" fontId="0" fillId="0" borderId="10" xfId="0" applyBorder="1" applyAlignment="1">
      <alignment horizontal="center" vertical="center"/>
    </xf>
    <xf numFmtId="0" fontId="46" fillId="37" borderId="10" xfId="0" applyFont="1" applyFill="1" applyBorder="1" applyAlignment="1">
      <alignment horizontal="center" vertical="center" wrapText="1"/>
    </xf>
    <xf numFmtId="166" fontId="0" fillId="0" borderId="10" xfId="0" applyNumberFormat="1" applyBorder="1" applyAlignment="1">
      <alignment horizontal="center" vertical="center"/>
    </xf>
    <xf numFmtId="0" fontId="49" fillId="0" borderId="10" xfId="0" applyFont="1" applyBorder="1" applyAlignment="1">
      <alignment horizontal="center" vertical="center"/>
    </xf>
    <xf numFmtId="0" fontId="48" fillId="0" borderId="10" xfId="0" applyFont="1" applyBorder="1" applyAlignment="1">
      <alignment horizontal="center" vertical="center"/>
    </xf>
    <xf numFmtId="166" fontId="48" fillId="0" borderId="10" xfId="0" applyNumberFormat="1" applyFont="1" applyBorder="1" applyAlignment="1">
      <alignment horizontal="center" vertical="center"/>
    </xf>
    <xf numFmtId="0" fontId="46" fillId="24" borderId="10" xfId="0" applyFont="1" applyFill="1" applyBorder="1" applyAlignment="1">
      <alignment horizontal="center" vertical="center"/>
    </xf>
    <xf numFmtId="0" fontId="46" fillId="29" borderId="10" xfId="0" applyFont="1" applyFill="1" applyBorder="1" applyAlignment="1">
      <alignment horizontal="center" vertical="center" wrapText="1"/>
    </xf>
    <xf numFmtId="165" fontId="45" fillId="24" borderId="10" xfId="0" applyNumberFormat="1" applyFont="1" applyFill="1" applyBorder="1" applyAlignment="1">
      <alignment horizontal="center"/>
    </xf>
    <xf numFmtId="0" fontId="45" fillId="24" borderId="10" xfId="0" applyFont="1" applyFill="1" applyBorder="1" applyAlignment="1">
      <alignment horizontal="center"/>
    </xf>
    <xf numFmtId="165" fontId="52" fillId="24" borderId="10" xfId="0" applyNumberFormat="1" applyFont="1" applyFill="1" applyBorder="1" applyAlignment="1">
      <alignment horizontal="left"/>
    </xf>
    <xf numFmtId="165" fontId="45" fillId="24" borderId="10" xfId="0" applyNumberFormat="1" applyFont="1" applyFill="1" applyBorder="1"/>
    <xf numFmtId="0" fontId="0" fillId="24" borderId="10" xfId="0" applyFont="1" applyFill="1" applyBorder="1"/>
    <xf numFmtId="165" fontId="0" fillId="24" borderId="10" xfId="0" applyNumberFormat="1" applyFont="1" applyFill="1" applyBorder="1"/>
    <xf numFmtId="165" fontId="45" fillId="0" borderId="10" xfId="0" applyNumberFormat="1" applyFont="1" applyBorder="1" applyAlignment="1">
      <alignment horizontal="center"/>
    </xf>
    <xf numFmtId="0" fontId="45" fillId="0" borderId="10" xfId="0" applyFont="1" applyBorder="1" applyAlignment="1">
      <alignment horizontal="center"/>
    </xf>
    <xf numFmtId="165" fontId="52" fillId="0" borderId="10" xfId="0" applyNumberFormat="1" applyFont="1" applyBorder="1" applyAlignment="1">
      <alignment horizontal="left"/>
    </xf>
    <xf numFmtId="165" fontId="45" fillId="0" borderId="10" xfId="0" applyNumberFormat="1" applyFont="1" applyBorder="1"/>
    <xf numFmtId="165" fontId="52" fillId="0" borderId="10" xfId="0" applyNumberFormat="1" applyFont="1" applyFill="1" applyBorder="1" applyAlignment="1">
      <alignment horizontal="left"/>
    </xf>
    <xf numFmtId="165" fontId="52" fillId="29" borderId="10" xfId="0" applyNumberFormat="1" applyFont="1" applyFill="1" applyBorder="1" applyAlignment="1">
      <alignment horizontal="left"/>
    </xf>
    <xf numFmtId="2" fontId="0" fillId="0" borderId="10" xfId="0" applyNumberFormat="1" applyFont="1" applyBorder="1"/>
    <xf numFmtId="0" fontId="53" fillId="33" borderId="10" xfId="0" applyFont="1" applyFill="1" applyBorder="1"/>
    <xf numFmtId="0" fontId="54" fillId="26" borderId="10" xfId="40" applyFont="1" applyFill="1" applyBorder="1" applyAlignment="1">
      <alignment wrapText="1"/>
    </xf>
    <xf numFmtId="0" fontId="55" fillId="33" borderId="10" xfId="0" applyFont="1" applyFill="1" applyBorder="1"/>
    <xf numFmtId="0" fontId="56" fillId="24" borderId="10" xfId="0" applyFont="1" applyFill="1" applyBorder="1" applyAlignment="1">
      <alignment horizontal="center" vertical="center"/>
    </xf>
    <xf numFmtId="0" fontId="56" fillId="33" borderId="10" xfId="0" applyFont="1" applyFill="1" applyBorder="1"/>
    <xf numFmtId="165" fontId="56" fillId="0" borderId="0" xfId="0" applyNumberFormat="1" applyFont="1"/>
    <xf numFmtId="0" fontId="57" fillId="0" borderId="10" xfId="0" applyFont="1" applyBorder="1"/>
    <xf numFmtId="0" fontId="57" fillId="32" borderId="10" xfId="0" applyFont="1" applyFill="1" applyBorder="1"/>
    <xf numFmtId="0" fontId="57" fillId="0" borderId="10" xfId="0" applyFont="1" applyFill="1" applyBorder="1"/>
    <xf numFmtId="165" fontId="57" fillId="0" borderId="10" xfId="0" applyNumberFormat="1" applyFont="1" applyBorder="1"/>
    <xf numFmtId="0" fontId="56" fillId="0" borderId="0" xfId="0" applyFont="1"/>
    <xf numFmtId="0" fontId="58" fillId="33" borderId="10" xfId="0" applyFont="1" applyFill="1" applyBorder="1"/>
    <xf numFmtId="0" fontId="59" fillId="33" borderId="10" xfId="0" applyFont="1" applyFill="1" applyBorder="1"/>
    <xf numFmtId="0" fontId="58" fillId="0" borderId="10" xfId="0" applyFont="1" applyFill="1" applyBorder="1"/>
    <xf numFmtId="0" fontId="56" fillId="0" borderId="10" xfId="0" applyFont="1" applyFill="1" applyBorder="1"/>
    <xf numFmtId="0" fontId="60" fillId="26" borderId="10" xfId="40" applyFont="1" applyFill="1" applyBorder="1" applyAlignment="1">
      <alignment wrapText="1"/>
    </xf>
    <xf numFmtId="0" fontId="46" fillId="0" borderId="0" xfId="0" applyFont="1"/>
    <xf numFmtId="165" fontId="0" fillId="38" borderId="10" xfId="0" applyNumberFormat="1" applyFill="1" applyBorder="1" applyAlignment="1">
      <alignment horizontal="center" vertical="center"/>
    </xf>
    <xf numFmtId="0" fontId="0" fillId="39" borderId="10" xfId="0" applyFill="1" applyBorder="1" applyAlignment="1">
      <alignment horizontal="center" vertical="center"/>
    </xf>
    <xf numFmtId="165" fontId="0" fillId="39" borderId="10" xfId="0" applyNumberFormat="1" applyFill="1" applyBorder="1" applyAlignment="1">
      <alignment horizontal="center" vertical="center"/>
    </xf>
    <xf numFmtId="0" fontId="61" fillId="0" borderId="10" xfId="0" applyFont="1" applyBorder="1" applyAlignment="1">
      <alignment horizontal="center" vertical="center"/>
    </xf>
    <xf numFmtId="0" fontId="62" fillId="0" borderId="10" xfId="0" applyFont="1" applyBorder="1" applyAlignment="1">
      <alignment horizontal="center" vertical="center"/>
    </xf>
    <xf numFmtId="166" fontId="62" fillId="0" borderId="10" xfId="0" applyNumberFormat="1" applyFont="1" applyBorder="1" applyAlignment="1">
      <alignment horizontal="center" vertical="center"/>
    </xf>
    <xf numFmtId="0" fontId="0" fillId="30" borderId="10" xfId="0" applyFill="1" applyBorder="1" applyAlignment="1">
      <alignment horizontal="center" vertical="center"/>
    </xf>
    <xf numFmtId="165" fontId="0" fillId="30" borderId="10" xfId="0" applyNumberFormat="1" applyFill="1" applyBorder="1" applyAlignment="1">
      <alignment horizontal="center" vertical="center"/>
    </xf>
    <xf numFmtId="165" fontId="48" fillId="38" borderId="10" xfId="0" applyNumberFormat="1" applyFont="1" applyFill="1" applyBorder="1" applyAlignment="1">
      <alignment horizontal="center" vertical="center"/>
    </xf>
    <xf numFmtId="2" fontId="0" fillId="39" borderId="10" xfId="0" applyNumberFormat="1" applyFill="1" applyBorder="1" applyAlignment="1">
      <alignment horizontal="center" vertical="center"/>
    </xf>
    <xf numFmtId="2" fontId="0" fillId="38" borderId="10" xfId="0" applyNumberFormat="1" applyFill="1" applyBorder="1" applyAlignment="1">
      <alignment horizontal="center" vertical="center"/>
    </xf>
    <xf numFmtId="166" fontId="63" fillId="0" borderId="10" xfId="0" applyNumberFormat="1" applyFont="1" applyBorder="1" applyAlignment="1">
      <alignment horizontal="center" vertical="center"/>
    </xf>
    <xf numFmtId="0" fontId="47" fillId="0" borderId="0" xfId="0" applyFont="1" applyFill="1" applyAlignment="1">
      <alignment horizontal="left" indent="2"/>
    </xf>
    <xf numFmtId="0" fontId="64" fillId="0" borderId="10" xfId="0" applyFont="1" applyFill="1" applyBorder="1"/>
    <xf numFmtId="4" fontId="65" fillId="36" borderId="10" xfId="0" applyNumberFormat="1" applyFont="1" applyFill="1" applyBorder="1"/>
    <xf numFmtId="0" fontId="47" fillId="0" borderId="0" xfId="0" applyFont="1" applyFill="1" applyAlignment="1">
      <alignment horizontal="left" vertical="center" wrapText="1"/>
    </xf>
    <xf numFmtId="0" fontId="66" fillId="0" borderId="0" xfId="0" applyFont="1" applyAlignment="1">
      <alignment vertical="center"/>
    </xf>
    <xf numFmtId="0" fontId="0" fillId="0" borderId="0" xfId="0" applyAlignment="1">
      <alignment horizontal="left"/>
    </xf>
    <xf numFmtId="0" fontId="47" fillId="0" borderId="0" xfId="0" applyFont="1" applyBorder="1" applyAlignment="1">
      <alignment horizontal="left" vertical="center" indent="2"/>
    </xf>
    <xf numFmtId="0" fontId="49" fillId="0" borderId="0" xfId="0" applyFont="1" applyBorder="1" applyAlignment="1">
      <alignment horizontal="left" vertical="center" indent="2"/>
    </xf>
    <xf numFmtId="0" fontId="0" fillId="0" borderId="0" xfId="0" applyBorder="1" applyAlignment="1">
      <alignment horizontal="left" indent="2"/>
    </xf>
    <xf numFmtId="2" fontId="46" fillId="25" borderId="10" xfId="0" applyNumberFormat="1" applyFont="1" applyFill="1" applyBorder="1" applyAlignment="1">
      <alignment horizontal="center" vertical="center" wrapText="1"/>
    </xf>
    <xf numFmtId="0" fontId="17" fillId="0" borderId="10" xfId="0" applyFont="1" applyFill="1" applyBorder="1"/>
    <xf numFmtId="0" fontId="0" fillId="0" borderId="0" xfId="0" applyFont="1"/>
    <xf numFmtId="0" fontId="0" fillId="0" borderId="0" xfId="0" applyFont="1" applyBorder="1" applyAlignment="1">
      <alignment horizontal="left" vertical="center" indent="2"/>
    </xf>
    <xf numFmtId="0" fontId="48" fillId="0" borderId="0" xfId="0" applyFont="1" applyBorder="1" applyAlignment="1">
      <alignment horizontal="left" vertical="center" indent="2"/>
    </xf>
    <xf numFmtId="0" fontId="0" fillId="0" borderId="0" xfId="0" applyFont="1" applyBorder="1" applyAlignment="1">
      <alignment horizontal="left" indent="2"/>
    </xf>
    <xf numFmtId="0" fontId="63" fillId="0" borderId="10" xfId="0" applyFont="1" applyFill="1" applyBorder="1"/>
    <xf numFmtId="168" fontId="0" fillId="0" borderId="10" xfId="0" applyNumberFormat="1" applyBorder="1"/>
    <xf numFmtId="2" fontId="14" fillId="40" borderId="10" xfId="0" applyNumberFormat="1" applyFont="1" applyFill="1" applyBorder="1" applyAlignment="1">
      <alignment horizontal="center" vertical="center" wrapText="1"/>
    </xf>
    <xf numFmtId="165" fontId="14" fillId="35" borderId="12" xfId="0" applyNumberFormat="1" applyFont="1" applyFill="1" applyBorder="1" applyAlignment="1">
      <alignment horizontal="center" vertical="center" wrapText="1"/>
    </xf>
    <xf numFmtId="169" fontId="0" fillId="0" borderId="10" xfId="0" applyNumberFormat="1" applyBorder="1"/>
    <xf numFmtId="0" fontId="64" fillId="0" borderId="0" xfId="0" applyFont="1" applyFill="1" applyBorder="1"/>
    <xf numFmtId="0" fontId="17" fillId="0" borderId="13" xfId="0" applyFont="1" applyFill="1" applyBorder="1"/>
    <xf numFmtId="0" fontId="0" fillId="41" borderId="10" xfId="0" applyFill="1" applyBorder="1"/>
    <xf numFmtId="0" fontId="55" fillId="41" borderId="10" xfId="0" applyFont="1" applyFill="1" applyBorder="1"/>
    <xf numFmtId="0" fontId="56" fillId="41" borderId="10" xfId="0" applyFont="1" applyFill="1" applyBorder="1"/>
    <xf numFmtId="0" fontId="59" fillId="41" borderId="10" xfId="0" applyFont="1" applyFill="1" applyBorder="1"/>
    <xf numFmtId="0" fontId="4" fillId="32" borderId="10" xfId="40" applyFont="1" applyFill="1" applyBorder="1" applyAlignment="1">
      <alignment wrapText="1"/>
    </xf>
    <xf numFmtId="0" fontId="56" fillId="41" borderId="0" xfId="0" applyFont="1" applyFill="1"/>
    <xf numFmtId="0" fontId="0" fillId="26" borderId="10" xfId="0" applyFill="1" applyBorder="1" applyAlignment="1">
      <alignment horizontal="left"/>
    </xf>
    <xf numFmtId="0" fontId="0" fillId="33" borderId="10" xfId="0" applyFill="1" applyBorder="1" applyAlignment="1">
      <alignment horizontal="left"/>
    </xf>
    <xf numFmtId="0" fontId="0" fillId="0" borderId="10" xfId="0" applyBorder="1" applyAlignment="1">
      <alignment horizontal="left"/>
    </xf>
    <xf numFmtId="0" fontId="56" fillId="41" borderId="10" xfId="0" applyFont="1" applyFill="1" applyBorder="1" applyAlignment="1">
      <alignment horizontal="left"/>
    </xf>
    <xf numFmtId="165" fontId="48" fillId="0" borderId="10" xfId="0" applyNumberFormat="1" applyFont="1" applyFill="1" applyBorder="1" applyAlignment="1">
      <alignment horizontal="right" vertical="center"/>
    </xf>
    <xf numFmtId="3" fontId="0" fillId="0" borderId="10" xfId="0" applyNumberFormat="1" applyBorder="1" applyAlignment="1">
      <alignment horizontal="right" vertical="center"/>
    </xf>
    <xf numFmtId="0" fontId="44" fillId="42" borderId="10" xfId="0" applyFont="1" applyFill="1" applyBorder="1" applyAlignment="1">
      <alignment horizontal="center" vertical="center"/>
    </xf>
    <xf numFmtId="0" fontId="44" fillId="42" borderId="10" xfId="0" applyFont="1" applyFill="1" applyBorder="1" applyAlignment="1">
      <alignment horizontal="center" vertical="center" wrapText="1"/>
    </xf>
    <xf numFmtId="0" fontId="46" fillId="0" borderId="0" xfId="0" applyFont="1" applyFill="1" applyBorder="1"/>
    <xf numFmtId="0" fontId="46" fillId="24" borderId="0" xfId="0" applyFont="1" applyFill="1" applyBorder="1" applyAlignment="1">
      <alignment horizontal="center" vertical="center"/>
    </xf>
    <xf numFmtId="0" fontId="0" fillId="0" borderId="0" xfId="0" applyBorder="1"/>
    <xf numFmtId="0" fontId="20" fillId="0" borderId="0" xfId="0" applyFont="1" applyFill="1" applyBorder="1" applyAlignment="1">
      <alignment horizontal="center" vertical="center"/>
    </xf>
    <xf numFmtId="0" fontId="20" fillId="0" borderId="0" xfId="0" applyFont="1" applyFill="1" applyBorder="1" applyAlignment="1">
      <alignment horizontal="left" vertical="center"/>
    </xf>
    <xf numFmtId="0" fontId="0" fillId="0" borderId="0" xfId="0" applyBorder="1" applyAlignment="1">
      <alignment horizontal="left" vertical="center" wrapText="1"/>
    </xf>
    <xf numFmtId="0" fontId="0" fillId="30" borderId="0" xfId="0" applyFill="1" applyBorder="1"/>
    <xf numFmtId="0" fontId="0" fillId="0" borderId="0" xfId="0" applyFill="1" applyBorder="1"/>
    <xf numFmtId="0" fontId="58" fillId="0" borderId="0" xfId="0" applyFont="1" applyFill="1" applyBorder="1"/>
    <xf numFmtId="0" fontId="20" fillId="0" borderId="0" xfId="0" applyFont="1" applyFill="1" applyBorder="1"/>
    <xf numFmtId="0" fontId="58" fillId="0" borderId="0" xfId="0" applyFont="1" applyFill="1" applyBorder="1" applyAlignment="1">
      <alignment horizontal="justify" vertical="center"/>
    </xf>
    <xf numFmtId="0" fontId="49" fillId="0" borderId="0" xfId="0" applyFont="1" applyFill="1" applyBorder="1"/>
    <xf numFmtId="0" fontId="20" fillId="0" borderId="0" xfId="0" applyFont="1" applyFill="1" applyBorder="1" applyAlignment="1">
      <alignment horizontal="left"/>
    </xf>
    <xf numFmtId="0" fontId="46" fillId="29" borderId="0" xfId="0" applyFont="1" applyFill="1" applyBorder="1"/>
    <xf numFmtId="0" fontId="0" fillId="32" borderId="10" xfId="0" applyFill="1" applyBorder="1" applyAlignment="1">
      <alignment horizontal="left" vertical="center" wrapText="1" indent="2"/>
    </xf>
    <xf numFmtId="0" fontId="0" fillId="26" borderId="10" xfId="0" applyFill="1" applyBorder="1" applyAlignment="1">
      <alignment horizontal="left" indent="2"/>
    </xf>
    <xf numFmtId="0" fontId="0" fillId="33" borderId="10" xfId="0" applyFill="1" applyBorder="1" applyAlignment="1">
      <alignment horizontal="left" indent="2"/>
    </xf>
    <xf numFmtId="0" fontId="0" fillId="41" borderId="10" xfId="0" applyFill="1" applyBorder="1" applyAlignment="1">
      <alignment horizontal="left" indent="2"/>
    </xf>
    <xf numFmtId="0" fontId="55" fillId="0" borderId="10" xfId="0" applyFont="1" applyFill="1" applyBorder="1"/>
    <xf numFmtId="3" fontId="0" fillId="0" borderId="10" xfId="0" applyNumberFormat="1" applyFill="1" applyBorder="1" applyAlignment="1">
      <alignment horizontal="right" vertical="center"/>
    </xf>
    <xf numFmtId="4" fontId="0" fillId="0" borderId="10" xfId="0" applyNumberFormat="1" applyFill="1" applyBorder="1"/>
    <xf numFmtId="0" fontId="0" fillId="0" borderId="10" xfId="0" applyFill="1" applyBorder="1" applyAlignment="1">
      <alignment horizontal="left"/>
    </xf>
    <xf numFmtId="0" fontId="0" fillId="0" borderId="12" xfId="0" applyFill="1" applyBorder="1" applyAlignment="1">
      <alignment horizontal="left" vertical="center"/>
    </xf>
    <xf numFmtId="0" fontId="6" fillId="41" borderId="10" xfId="0" applyFont="1" applyFill="1" applyBorder="1"/>
    <xf numFmtId="0" fontId="57" fillId="41" borderId="10" xfId="0" applyFont="1" applyFill="1" applyBorder="1"/>
    <xf numFmtId="165" fontId="57" fillId="41" borderId="10" xfId="0" applyNumberFormat="1" applyFont="1" applyFill="1" applyBorder="1"/>
    <xf numFmtId="0" fontId="58" fillId="41" borderId="10" xfId="0" applyFont="1" applyFill="1" applyBorder="1"/>
    <xf numFmtId="0" fontId="59" fillId="0" borderId="10" xfId="0" applyFont="1" applyFill="1" applyBorder="1"/>
    <xf numFmtId="0" fontId="56" fillId="0" borderId="0" xfId="0" applyFont="1" applyFill="1"/>
    <xf numFmtId="0" fontId="56" fillId="0" borderId="10" xfId="0" applyFont="1" applyFill="1" applyBorder="1" applyAlignment="1">
      <alignment horizontal="left"/>
    </xf>
    <xf numFmtId="0" fontId="55" fillId="0" borderId="11" xfId="0" applyFont="1" applyFill="1" applyBorder="1"/>
    <xf numFmtId="165" fontId="48" fillId="30" borderId="10" xfId="0" applyNumberFormat="1" applyFont="1" applyFill="1" applyBorder="1" applyAlignment="1">
      <alignment horizontal="right"/>
    </xf>
    <xf numFmtId="0" fontId="59" fillId="0" borderId="14" xfId="0" applyFont="1" applyFill="1" applyBorder="1"/>
    <xf numFmtId="0" fontId="50" fillId="32" borderId="14" xfId="40" applyFont="1" applyFill="1" applyBorder="1" applyAlignment="1">
      <alignment horizontal="left" vertical="center" wrapText="1"/>
    </xf>
    <xf numFmtId="0" fontId="46" fillId="41" borderId="10" xfId="0" applyFont="1" applyFill="1" applyBorder="1" applyAlignment="1">
      <alignment horizontal="center" vertical="center" wrapText="1"/>
    </xf>
    <xf numFmtId="0" fontId="49" fillId="0" borderId="10" xfId="0" applyFont="1" applyFill="1" applyBorder="1" applyAlignment="1">
      <alignment horizontal="left" vertical="center"/>
    </xf>
    <xf numFmtId="0" fontId="48" fillId="0" borderId="10" xfId="0" applyFont="1" applyFill="1" applyBorder="1"/>
    <xf numFmtId="0" fontId="67" fillId="30" borderId="15" xfId="0" applyFont="1" applyFill="1" applyBorder="1" applyAlignment="1">
      <alignment horizontal="center"/>
    </xf>
    <xf numFmtId="0" fontId="67" fillId="29" borderId="15" xfId="0" applyFont="1" applyFill="1" applyBorder="1" applyAlignment="1">
      <alignment horizontal="center"/>
    </xf>
    <xf numFmtId="0" fontId="46" fillId="31" borderId="10" xfId="0" applyFont="1" applyFill="1" applyBorder="1" applyAlignment="1">
      <alignment horizontal="center"/>
    </xf>
    <xf numFmtId="0" fontId="44" fillId="27" borderId="15" xfId="0" applyFont="1" applyFill="1" applyBorder="1" applyAlignment="1">
      <alignment horizontal="center"/>
    </xf>
    <xf numFmtId="0" fontId="44" fillId="28" borderId="15" xfId="0" applyFont="1" applyFill="1" applyBorder="1" applyAlignment="1">
      <alignment horizontal="center"/>
    </xf>
    <xf numFmtId="0" fontId="49" fillId="0" borderId="10" xfId="0" applyFont="1" applyBorder="1" applyAlignment="1">
      <alignment horizontal="left" vertical="center"/>
    </xf>
    <xf numFmtId="0" fontId="49" fillId="24" borderId="10" xfId="0" applyFont="1" applyFill="1" applyBorder="1" applyAlignment="1">
      <alignment horizontal="left" vertical="center"/>
    </xf>
    <xf numFmtId="0" fontId="48" fillId="24" borderId="10" xfId="0" applyFont="1" applyFill="1" applyBorder="1"/>
    <xf numFmtId="165" fontId="48" fillId="24" borderId="10" xfId="0" applyNumberFormat="1" applyFont="1" applyFill="1" applyBorder="1"/>
    <xf numFmtId="165" fontId="0" fillId="37" borderId="10" xfId="0" applyNumberFormat="1" applyFill="1" applyBorder="1"/>
    <xf numFmtId="0" fontId="74" fillId="24" borderId="10" xfId="0" applyFont="1" applyFill="1" applyBorder="1" applyAlignment="1">
      <alignment horizontal="center" vertical="center"/>
    </xf>
    <xf numFmtId="0" fontId="70" fillId="34" borderId="0" xfId="0" applyFont="1" applyFill="1" applyProtection="1"/>
    <xf numFmtId="0" fontId="105" fillId="43" borderId="16" xfId="0" applyFont="1" applyFill="1" applyBorder="1" applyAlignment="1" applyProtection="1">
      <alignment horizontal="center" vertical="center" wrapText="1"/>
    </xf>
    <xf numFmtId="0" fontId="69" fillId="24" borderId="10" xfId="0" applyFont="1" applyFill="1" applyBorder="1" applyAlignment="1" applyProtection="1">
      <alignment horizontal="center" vertical="center"/>
    </xf>
    <xf numFmtId="165" fontId="43" fillId="27" borderId="10" xfId="0" applyNumberFormat="1" applyFont="1" applyFill="1" applyBorder="1" applyAlignment="1" applyProtection="1">
      <alignment horizontal="center" vertical="center" wrapText="1"/>
    </xf>
    <xf numFmtId="165" fontId="43" fillId="28" borderId="10" xfId="0" applyNumberFormat="1" applyFont="1" applyFill="1" applyBorder="1" applyAlignment="1" applyProtection="1">
      <alignment horizontal="center" vertical="center" wrapText="1"/>
    </xf>
    <xf numFmtId="165" fontId="0" fillId="29" borderId="10" xfId="0" applyNumberFormat="1" applyFill="1" applyBorder="1" applyAlignment="1" applyProtection="1">
      <alignment horizontal="center" vertical="center" wrapText="1"/>
    </xf>
    <xf numFmtId="165" fontId="0" fillId="30" borderId="10" xfId="0" applyNumberFormat="1" applyFill="1" applyBorder="1" applyAlignment="1" applyProtection="1">
      <alignment horizontal="center" vertical="center" wrapText="1"/>
    </xf>
    <xf numFmtId="165" fontId="0" fillId="31" borderId="10" xfId="0" applyNumberFormat="1" applyFill="1" applyBorder="1" applyAlignment="1" applyProtection="1">
      <alignment horizontal="center" vertical="center" wrapText="1"/>
    </xf>
    <xf numFmtId="0" fontId="69" fillId="0" borderId="10" xfId="0" applyFont="1" applyFill="1" applyBorder="1" applyAlignment="1" applyProtection="1">
      <alignment horizontal="center" vertical="center"/>
    </xf>
    <xf numFmtId="167" fontId="77" fillId="0" borderId="1" xfId="40" applyNumberFormat="1" applyFont="1" applyFill="1" applyBorder="1" applyAlignment="1" applyProtection="1">
      <alignment vertical="center" wrapText="1"/>
    </xf>
    <xf numFmtId="0" fontId="105" fillId="43" borderId="17" xfId="0" applyFont="1" applyFill="1" applyBorder="1" applyAlignment="1" applyProtection="1">
      <alignment horizontal="center" vertical="center" wrapText="1"/>
    </xf>
    <xf numFmtId="165" fontId="77" fillId="0" borderId="10" xfId="40" applyNumberFormat="1" applyFont="1" applyFill="1" applyBorder="1" applyAlignment="1" applyProtection="1">
      <alignment horizontal="right" vertical="center" wrapText="1"/>
    </xf>
    <xf numFmtId="165" fontId="77" fillId="0" borderId="11" xfId="40" applyNumberFormat="1" applyFont="1" applyFill="1" applyBorder="1" applyAlignment="1" applyProtection="1">
      <alignment horizontal="right" vertical="center" wrapText="1"/>
    </xf>
    <xf numFmtId="0" fontId="105" fillId="43" borderId="18" xfId="0" applyFont="1" applyFill="1" applyBorder="1" applyAlignment="1" applyProtection="1">
      <alignment horizontal="center" vertical="center"/>
    </xf>
    <xf numFmtId="0" fontId="106" fillId="34" borderId="0" xfId="0" applyFont="1" applyFill="1"/>
    <xf numFmtId="0" fontId="72" fillId="24" borderId="10" xfId="40" applyFont="1" applyFill="1" applyBorder="1" applyAlignment="1" applyProtection="1">
      <alignment wrapText="1"/>
    </xf>
    <xf numFmtId="0" fontId="11" fillId="0" borderId="10" xfId="0" applyFont="1" applyBorder="1" applyAlignment="1">
      <alignment horizontal="left" vertical="center" wrapText="1"/>
    </xf>
    <xf numFmtId="0" fontId="107" fillId="43" borderId="19" xfId="0" applyFont="1" applyFill="1" applyBorder="1" applyAlignment="1" applyProtection="1">
      <alignment horizontal="center" vertical="center" wrapText="1"/>
    </xf>
    <xf numFmtId="0" fontId="70" fillId="44" borderId="10" xfId="0" applyFont="1" applyFill="1" applyBorder="1" applyAlignment="1" applyProtection="1">
      <alignment horizontal="center" vertical="center"/>
    </xf>
    <xf numFmtId="165" fontId="109" fillId="0" borderId="11" xfId="0" applyNumberFormat="1" applyFont="1" applyBorder="1"/>
    <xf numFmtId="0" fontId="106" fillId="34" borderId="0" xfId="0" applyFont="1" applyFill="1" applyProtection="1"/>
    <xf numFmtId="165" fontId="70" fillId="0" borderId="1" xfId="0" applyNumberFormat="1" applyFont="1" applyBorder="1" applyAlignment="1" applyProtection="1">
      <alignment vertical="center"/>
    </xf>
    <xf numFmtId="0" fontId="108" fillId="0" borderId="20" xfId="0" applyFont="1" applyFill="1" applyBorder="1" applyProtection="1"/>
    <xf numFmtId="4" fontId="108" fillId="0" borderId="21" xfId="0" applyNumberFormat="1" applyFont="1" applyFill="1" applyBorder="1" applyProtection="1"/>
    <xf numFmtId="4" fontId="77" fillId="0" borderId="21" xfId="0" applyNumberFormat="1" applyFont="1" applyFill="1" applyBorder="1" applyProtection="1"/>
    <xf numFmtId="0" fontId="69" fillId="0" borderId="22" xfId="0" applyFont="1" applyFill="1" applyBorder="1" applyAlignment="1" applyProtection="1">
      <alignment horizontal="left" vertical="center"/>
    </xf>
    <xf numFmtId="0" fontId="106" fillId="34" borderId="0" xfId="0" applyFont="1" applyFill="1" applyAlignment="1">
      <alignment horizontal="center"/>
    </xf>
    <xf numFmtId="0" fontId="113" fillId="34" borderId="0" xfId="0" applyFont="1" applyFill="1" applyBorder="1" applyAlignment="1" applyProtection="1">
      <alignment horizontal="left" vertical="center" wrapText="1"/>
    </xf>
    <xf numFmtId="0" fontId="83" fillId="34" borderId="0" xfId="0" applyNumberFormat="1" applyFont="1" applyFill="1" applyBorder="1" applyAlignment="1" applyProtection="1">
      <alignment horizontal="left" vertical="center" wrapText="1"/>
    </xf>
    <xf numFmtId="0" fontId="70" fillId="34" borderId="0" xfId="0" applyFont="1" applyFill="1" applyBorder="1" applyAlignment="1" applyProtection="1">
      <alignment vertical="center" wrapText="1"/>
    </xf>
    <xf numFmtId="0" fontId="115" fillId="34" borderId="0" xfId="0" applyFont="1" applyFill="1" applyAlignment="1">
      <alignment horizontal="center"/>
    </xf>
    <xf numFmtId="0" fontId="106" fillId="34" borderId="10" xfId="0" applyFont="1" applyFill="1" applyBorder="1"/>
    <xf numFmtId="1" fontId="106" fillId="0" borderId="10" xfId="0" applyNumberFormat="1" applyFont="1" applyFill="1" applyBorder="1" applyAlignment="1">
      <alignment horizontal="center"/>
    </xf>
    <xf numFmtId="0" fontId="105" fillId="43" borderId="24" xfId="0" applyFont="1" applyFill="1" applyBorder="1" applyAlignment="1" applyProtection="1">
      <alignment horizontal="center" vertical="center"/>
    </xf>
    <xf numFmtId="165" fontId="77" fillId="0" borderId="25" xfId="40" applyNumberFormat="1" applyFont="1" applyFill="1" applyBorder="1" applyAlignment="1" applyProtection="1">
      <alignment horizontal="right" vertical="center" wrapText="1"/>
    </xf>
    <xf numFmtId="0" fontId="106" fillId="33" borderId="10" xfId="0" applyFont="1" applyFill="1" applyBorder="1" applyAlignment="1">
      <alignment horizontal="center"/>
    </xf>
    <xf numFmtId="1" fontId="106" fillId="0" borderId="10" xfId="0" applyNumberFormat="1" applyFont="1" applyFill="1" applyBorder="1"/>
    <xf numFmtId="4" fontId="69" fillId="0" borderId="26" xfId="0" applyNumberFormat="1" applyFont="1" applyFill="1" applyBorder="1" applyAlignment="1" applyProtection="1">
      <alignment horizontal="right" vertical="center" wrapText="1"/>
    </xf>
    <xf numFmtId="3" fontId="106" fillId="0" borderId="10" xfId="0" applyNumberFormat="1" applyFont="1" applyFill="1" applyBorder="1"/>
    <xf numFmtId="1" fontId="106" fillId="38" borderId="0" xfId="0" applyNumberFormat="1" applyFont="1" applyFill="1"/>
    <xf numFmtId="1" fontId="109" fillId="0" borderId="20" xfId="0" applyNumberFormat="1" applyFont="1" applyFill="1" applyBorder="1" applyAlignment="1" applyProtection="1">
      <alignment horizontal="right"/>
    </xf>
    <xf numFmtId="4" fontId="117" fillId="38" borderId="10" xfId="0" applyNumberFormat="1" applyFont="1" applyFill="1" applyBorder="1" applyProtection="1"/>
    <xf numFmtId="1" fontId="117" fillId="24" borderId="10" xfId="0" applyNumberFormat="1" applyFont="1" applyFill="1" applyBorder="1" applyAlignment="1" applyProtection="1">
      <alignment horizontal="center" vertical="center"/>
    </xf>
    <xf numFmtId="0" fontId="107" fillId="43" borderId="27" xfId="0" applyFont="1" applyFill="1" applyBorder="1" applyAlignment="1" applyProtection="1">
      <alignment horizontal="center" vertical="center" wrapText="1"/>
    </xf>
    <xf numFmtId="0" fontId="106" fillId="34" borderId="10" xfId="0" applyFont="1" applyFill="1" applyBorder="1" applyAlignment="1">
      <alignment horizontal="center"/>
    </xf>
    <xf numFmtId="4" fontId="108" fillId="0" borderId="29" xfId="0" applyNumberFormat="1" applyFont="1" applyFill="1" applyBorder="1" applyAlignment="1" applyProtection="1">
      <alignment horizontal="right"/>
    </xf>
    <xf numFmtId="4" fontId="117" fillId="0" borderId="22" xfId="0" applyNumberFormat="1" applyFont="1" applyFill="1" applyBorder="1" applyAlignment="1" applyProtection="1">
      <alignment horizontal="right"/>
    </xf>
    <xf numFmtId="0" fontId="81" fillId="34" borderId="0" xfId="0" applyFont="1" applyFill="1" applyBorder="1" applyProtection="1"/>
    <xf numFmtId="0" fontId="80" fillId="34" borderId="0" xfId="0" applyFont="1" applyFill="1" applyBorder="1" applyAlignment="1" applyProtection="1"/>
    <xf numFmtId="0" fontId="94" fillId="34" borderId="0" xfId="0" applyFont="1" applyFill="1" applyBorder="1" applyProtection="1"/>
    <xf numFmtId="165" fontId="0" fillId="0" borderId="10" xfId="0" applyNumberFormat="1" applyFill="1" applyBorder="1"/>
    <xf numFmtId="0" fontId="58" fillId="29" borderId="10" xfId="0" applyFont="1" applyFill="1" applyBorder="1"/>
    <xf numFmtId="0" fontId="0" fillId="29" borderId="10" xfId="0" applyFill="1" applyBorder="1" applyAlignment="1">
      <alignment horizontal="left" vertical="center" wrapText="1" indent="2"/>
    </xf>
    <xf numFmtId="0" fontId="97" fillId="32" borderId="10" xfId="0" applyFont="1" applyFill="1" applyBorder="1" applyAlignment="1">
      <alignment horizontal="center"/>
    </xf>
    <xf numFmtId="2" fontId="97" fillId="32" borderId="10" xfId="0" applyNumberFormat="1" applyFont="1" applyFill="1" applyBorder="1" applyAlignment="1">
      <alignment horizontal="center"/>
    </xf>
    <xf numFmtId="0" fontId="97" fillId="0" borderId="10" xfId="0" applyFont="1" applyFill="1" applyBorder="1" applyAlignment="1">
      <alignment wrapText="1"/>
    </xf>
    <xf numFmtId="1" fontId="0" fillId="0" borderId="10" xfId="0" applyNumberFormat="1" applyFill="1" applyBorder="1"/>
    <xf numFmtId="168" fontId="0" fillId="0" borderId="10" xfId="0" applyNumberFormat="1" applyFill="1" applyBorder="1"/>
    <xf numFmtId="0" fontId="70" fillId="24" borderId="10" xfId="40" applyFont="1" applyFill="1" applyBorder="1" applyAlignment="1" applyProtection="1">
      <alignment wrapText="1"/>
    </xf>
    <xf numFmtId="0" fontId="0" fillId="29" borderId="10" xfId="0" applyFill="1" applyBorder="1" applyAlignment="1">
      <alignment horizontal="left"/>
    </xf>
    <xf numFmtId="0" fontId="56" fillId="29" borderId="10" xfId="0" applyFont="1" applyFill="1" applyBorder="1"/>
    <xf numFmtId="165" fontId="0" fillId="29" borderId="10" xfId="0" applyNumberFormat="1" applyFont="1" applyFill="1" applyBorder="1" applyAlignment="1">
      <alignment horizontal="center" vertical="center" wrapText="1"/>
    </xf>
    <xf numFmtId="165" fontId="0" fillId="31" borderId="10" xfId="0" applyNumberFormat="1" applyFont="1" applyFill="1" applyBorder="1" applyAlignment="1">
      <alignment horizontal="center" vertical="center" wrapText="1"/>
    </xf>
    <xf numFmtId="165" fontId="0" fillId="30" borderId="10" xfId="0" applyNumberFormat="1" applyFont="1" applyFill="1" applyBorder="1" applyAlignment="1">
      <alignment horizontal="center" vertical="center" wrapText="1"/>
    </xf>
    <xf numFmtId="165" fontId="119" fillId="24" borderId="10" xfId="0" applyNumberFormat="1" applyFont="1" applyFill="1" applyBorder="1" applyAlignment="1">
      <alignment horizontal="right" vertical="top"/>
    </xf>
    <xf numFmtId="0" fontId="104" fillId="30" borderId="10" xfId="0" applyFont="1" applyFill="1" applyBorder="1"/>
    <xf numFmtId="0" fontId="119" fillId="24" borderId="10" xfId="0" applyFont="1" applyFill="1" applyBorder="1" applyAlignment="1">
      <alignment horizontal="right" vertical="top"/>
    </xf>
    <xf numFmtId="165" fontId="120" fillId="30" borderId="10" xfId="0" applyNumberFormat="1" applyFont="1" applyFill="1" applyBorder="1" applyAlignment="1">
      <alignment horizontal="right"/>
    </xf>
    <xf numFmtId="0" fontId="120" fillId="30" borderId="10" xfId="0" applyFont="1" applyFill="1" applyBorder="1" applyAlignment="1">
      <alignment horizontal="right" vertical="center"/>
    </xf>
    <xf numFmtId="0" fontId="121" fillId="30" borderId="10" xfId="0" applyFont="1" applyFill="1" applyBorder="1" applyAlignment="1">
      <alignment horizontal="justify" vertical="center"/>
    </xf>
    <xf numFmtId="0" fontId="104" fillId="24" borderId="10" xfId="0" applyFont="1" applyFill="1" applyBorder="1" applyAlignment="1">
      <alignment horizontal="center" vertical="center"/>
    </xf>
    <xf numFmtId="165" fontId="122" fillId="0" borderId="10" xfId="0" applyNumberFormat="1" applyFont="1" applyBorder="1" applyAlignment="1">
      <alignment horizontal="left"/>
    </xf>
    <xf numFmtId="0" fontId="123" fillId="24" borderId="15" xfId="0" applyFont="1" applyFill="1" applyBorder="1"/>
    <xf numFmtId="0" fontId="123" fillId="0" borderId="15" xfId="0" applyFont="1" applyFill="1" applyBorder="1" applyAlignment="1">
      <alignment horizontal="left"/>
    </xf>
    <xf numFmtId="165" fontId="122" fillId="0" borderId="10" xfId="0" applyNumberFormat="1" applyFont="1" applyFill="1" applyBorder="1" applyAlignment="1">
      <alignment horizontal="left"/>
    </xf>
    <xf numFmtId="0" fontId="121" fillId="24" borderId="10" xfId="0" applyFont="1" applyFill="1" applyBorder="1" applyAlignment="1">
      <alignment horizontal="justify" vertical="center"/>
    </xf>
    <xf numFmtId="0" fontId="120" fillId="24" borderId="10" xfId="0" applyFont="1" applyFill="1" applyBorder="1" applyAlignment="1">
      <alignment horizontal="right" vertical="center"/>
    </xf>
    <xf numFmtId="165" fontId="120" fillId="24" borderId="10" xfId="0" applyNumberFormat="1" applyFont="1" applyFill="1" applyBorder="1" applyAlignment="1">
      <alignment horizontal="right"/>
    </xf>
    <xf numFmtId="0" fontId="124" fillId="24" borderId="10" xfId="0" applyFont="1" applyFill="1" applyBorder="1" applyAlignment="1">
      <alignment horizontal="justify" vertical="center"/>
    </xf>
    <xf numFmtId="0" fontId="119" fillId="24" borderId="10" xfId="0" applyFont="1" applyFill="1" applyBorder="1" applyAlignment="1">
      <alignment horizontal="right" vertical="center"/>
    </xf>
    <xf numFmtId="165" fontId="119" fillId="24" borderId="10" xfId="0" applyNumberFormat="1" applyFont="1" applyFill="1" applyBorder="1" applyAlignment="1">
      <alignment horizontal="right"/>
    </xf>
    <xf numFmtId="0" fontId="125" fillId="24" borderId="10" xfId="0" applyFont="1" applyFill="1" applyBorder="1" applyAlignment="1">
      <alignment horizontal="justify" vertical="center"/>
    </xf>
    <xf numFmtId="165" fontId="120" fillId="24" borderId="10" xfId="0" applyNumberFormat="1" applyFont="1" applyFill="1" applyBorder="1" applyAlignment="1">
      <alignment horizontal="right" vertical="center"/>
    </xf>
    <xf numFmtId="0" fontId="123" fillId="24" borderId="10" xfId="0" applyFont="1" applyFill="1" applyBorder="1"/>
    <xf numFmtId="0" fontId="123" fillId="0" borderId="10" xfId="0" applyFont="1" applyFill="1" applyBorder="1" applyAlignment="1">
      <alignment horizontal="left"/>
    </xf>
    <xf numFmtId="0" fontId="104" fillId="24" borderId="10" xfId="0" applyFont="1" applyFill="1" applyBorder="1" applyAlignment="1">
      <alignment horizontal="center"/>
    </xf>
    <xf numFmtId="165" fontId="126" fillId="24" borderId="10" xfId="0" applyNumberFormat="1" applyFont="1" applyFill="1" applyBorder="1"/>
    <xf numFmtId="0" fontId="104" fillId="33" borderId="10" xfId="0" applyFont="1" applyFill="1" applyBorder="1" applyAlignment="1">
      <alignment horizontal="center"/>
    </xf>
    <xf numFmtId="0" fontId="97" fillId="0" borderId="10" xfId="0" applyFont="1" applyFill="1" applyBorder="1" applyAlignment="1">
      <alignment horizontal="right" wrapText="1"/>
    </xf>
    <xf numFmtId="0" fontId="0" fillId="0" borderId="0" xfId="0" applyAlignment="1">
      <alignment horizontal="left" vertical="center"/>
    </xf>
    <xf numFmtId="165" fontId="2" fillId="27" borderId="10" xfId="0" applyNumberFormat="1" applyFont="1" applyFill="1" applyBorder="1" applyAlignment="1">
      <alignment horizontal="center" vertical="center" wrapText="1"/>
    </xf>
    <xf numFmtId="165" fontId="2" fillId="28" borderId="10" xfId="0" applyNumberFormat="1" applyFont="1" applyFill="1" applyBorder="1" applyAlignment="1">
      <alignment horizontal="center" vertical="center" wrapText="1"/>
    </xf>
    <xf numFmtId="0" fontId="104" fillId="37" borderId="10" xfId="0" applyFont="1" applyFill="1" applyBorder="1" applyAlignment="1">
      <alignment horizontal="center"/>
    </xf>
    <xf numFmtId="165" fontId="126" fillId="0" borderId="10" xfId="0" applyNumberFormat="1" applyFont="1" applyFill="1" applyBorder="1"/>
    <xf numFmtId="165" fontId="127" fillId="0" borderId="10" xfId="0" applyNumberFormat="1" applyFont="1" applyFill="1" applyBorder="1"/>
    <xf numFmtId="0" fontId="103" fillId="0" borderId="10" xfId="0" applyFont="1" applyBorder="1"/>
    <xf numFmtId="168" fontId="103" fillId="0" borderId="10" xfId="0" applyNumberFormat="1" applyFont="1" applyFill="1" applyBorder="1"/>
    <xf numFmtId="165" fontId="103" fillId="0" borderId="10" xfId="0" applyNumberFormat="1" applyFont="1" applyFill="1" applyBorder="1"/>
    <xf numFmtId="0" fontId="128" fillId="0" borderId="0" xfId="0" applyFont="1"/>
    <xf numFmtId="0" fontId="13" fillId="0" borderId="10" xfId="0" applyFont="1" applyFill="1" applyBorder="1" applyAlignment="1">
      <alignment horizontal="center" vertical="center"/>
    </xf>
    <xf numFmtId="0" fontId="20" fillId="29" borderId="10" xfId="0" applyFont="1" applyFill="1" applyBorder="1"/>
    <xf numFmtId="0" fontId="105" fillId="43" borderId="24" xfId="0" applyFont="1" applyFill="1" applyBorder="1" applyAlignment="1" applyProtection="1">
      <alignment horizontal="left" vertical="center"/>
    </xf>
    <xf numFmtId="0" fontId="129" fillId="0" borderId="20" xfId="0" applyFont="1" applyFill="1" applyBorder="1" applyProtection="1">
      <protection locked="0"/>
    </xf>
    <xf numFmtId="0" fontId="129" fillId="0" borderId="1" xfId="0" applyFont="1" applyFill="1" applyBorder="1" applyProtection="1">
      <protection locked="0"/>
    </xf>
    <xf numFmtId="1" fontId="108" fillId="0" borderId="20" xfId="0" applyNumberFormat="1" applyFont="1" applyFill="1" applyBorder="1" applyProtection="1">
      <protection locked="0"/>
    </xf>
    <xf numFmtId="3" fontId="108" fillId="0" borderId="20" xfId="0" applyNumberFormat="1" applyFont="1" applyFill="1" applyBorder="1" applyProtection="1">
      <protection locked="0"/>
    </xf>
    <xf numFmtId="3" fontId="108" fillId="0" borderId="1" xfId="0" applyNumberFormat="1" applyFont="1" applyFill="1" applyBorder="1" applyProtection="1">
      <protection locked="0"/>
    </xf>
    <xf numFmtId="0" fontId="108" fillId="0" borderId="20" xfId="0" applyFont="1" applyFill="1" applyBorder="1" applyProtection="1">
      <protection locked="0"/>
    </xf>
    <xf numFmtId="4" fontId="108" fillId="0" borderId="20" xfId="0" applyNumberFormat="1" applyFont="1" applyFill="1" applyBorder="1" applyProtection="1">
      <protection locked="0"/>
    </xf>
    <xf numFmtId="4" fontId="108" fillId="0" borderId="1" xfId="0" applyNumberFormat="1" applyFont="1" applyFill="1" applyBorder="1" applyProtection="1">
      <protection locked="0"/>
    </xf>
    <xf numFmtId="4" fontId="108" fillId="0" borderId="1" xfId="0" applyNumberFormat="1" applyFont="1" applyFill="1" applyBorder="1" applyAlignment="1">
      <alignment horizontal="right"/>
    </xf>
    <xf numFmtId="0" fontId="111" fillId="34" borderId="0" xfId="0" applyFont="1" applyFill="1" applyBorder="1" applyAlignment="1">
      <alignment horizontal="left"/>
    </xf>
    <xf numFmtId="2" fontId="106" fillId="0" borderId="10" xfId="0" applyNumberFormat="1" applyFont="1" applyFill="1" applyBorder="1"/>
    <xf numFmtId="167" fontId="108" fillId="0" borderId="20" xfId="0" applyNumberFormat="1" applyFont="1" applyFill="1" applyBorder="1"/>
    <xf numFmtId="0" fontId="76" fillId="43" borderId="18" xfId="0" applyFont="1" applyFill="1" applyBorder="1" applyAlignment="1" applyProtection="1">
      <alignment horizontal="center" vertical="center"/>
    </xf>
    <xf numFmtId="165" fontId="70" fillId="24" borderId="10" xfId="40" applyNumberFormat="1" applyFont="1" applyFill="1" applyBorder="1" applyAlignment="1" applyProtection="1">
      <alignment wrapText="1"/>
    </xf>
    <xf numFmtId="0" fontId="140" fillId="34" borderId="0" xfId="0" applyFont="1" applyFill="1" applyAlignment="1">
      <alignment horizontal="right"/>
    </xf>
    <xf numFmtId="0" fontId="81" fillId="34" borderId="0" xfId="0" applyFont="1" applyFill="1" applyProtection="1"/>
    <xf numFmtId="0" fontId="142" fillId="34" borderId="0" xfId="0" applyFont="1" applyFill="1" applyAlignment="1" applyProtection="1">
      <alignment vertical="center"/>
    </xf>
    <xf numFmtId="0" fontId="144" fillId="34" borderId="0" xfId="0" applyFont="1" applyFill="1" applyBorder="1" applyAlignment="1">
      <alignment horizontal="left"/>
    </xf>
    <xf numFmtId="0" fontId="81" fillId="0" borderId="16" xfId="0" applyFont="1" applyFill="1" applyBorder="1" applyProtection="1"/>
    <xf numFmtId="1" fontId="81" fillId="38" borderId="10" xfId="0" applyNumberFormat="1" applyFont="1" applyFill="1" applyBorder="1" applyAlignment="1" applyProtection="1">
      <alignment horizontal="center" vertical="center"/>
    </xf>
    <xf numFmtId="0" fontId="81" fillId="34" borderId="10" xfId="0" applyFont="1" applyFill="1" applyBorder="1" applyProtection="1"/>
    <xf numFmtId="4" fontId="81" fillId="0" borderId="1" xfId="0" applyNumberFormat="1" applyFont="1" applyFill="1" applyBorder="1" applyProtection="1"/>
    <xf numFmtId="0" fontId="81" fillId="34" borderId="0" xfId="0" applyFont="1" applyFill="1" applyAlignment="1" applyProtection="1">
      <alignment vertical="center"/>
    </xf>
    <xf numFmtId="2" fontId="81" fillId="0" borderId="26" xfId="0" applyNumberFormat="1" applyFont="1" applyFill="1" applyBorder="1" applyProtection="1"/>
    <xf numFmtId="0" fontId="117" fillId="34" borderId="0" xfId="0" applyFont="1" applyFill="1"/>
    <xf numFmtId="1" fontId="0" fillId="0" borderId="0" xfId="0" applyNumberFormat="1"/>
    <xf numFmtId="0" fontId="106" fillId="45" borderId="10" xfId="0" applyFont="1" applyFill="1" applyBorder="1"/>
    <xf numFmtId="0" fontId="106" fillId="0" borderId="26" xfId="0" applyFont="1" applyFill="1" applyBorder="1" applyProtection="1">
      <protection locked="0"/>
    </xf>
    <xf numFmtId="0" fontId="81" fillId="34" borderId="0" xfId="0" applyFont="1" applyFill="1"/>
    <xf numFmtId="3" fontId="81" fillId="0" borderId="1" xfId="0" applyNumberFormat="1" applyFont="1" applyFill="1" applyBorder="1" applyAlignment="1" applyProtection="1">
      <alignment vertical="center"/>
    </xf>
    <xf numFmtId="3" fontId="108" fillId="0" borderId="20" xfId="0" applyNumberFormat="1" applyFont="1" applyFill="1" applyBorder="1"/>
    <xf numFmtId="4" fontId="108" fillId="0" borderId="20" xfId="0" applyNumberFormat="1" applyFont="1" applyFill="1" applyBorder="1"/>
    <xf numFmtId="4" fontId="81" fillId="45" borderId="10" xfId="0" applyNumberFormat="1" applyFont="1" applyFill="1" applyBorder="1" applyProtection="1"/>
    <xf numFmtId="3" fontId="94" fillId="0" borderId="1" xfId="0" applyNumberFormat="1" applyFont="1" applyFill="1" applyBorder="1" applyAlignment="1" applyProtection="1">
      <alignment vertical="center"/>
    </xf>
    <xf numFmtId="0" fontId="144" fillId="34" borderId="0" xfId="0" applyFont="1" applyFill="1" applyProtection="1"/>
    <xf numFmtId="4" fontId="108" fillId="0" borderId="36" xfId="0" applyNumberFormat="1" applyFont="1" applyFill="1" applyBorder="1" applyProtection="1"/>
    <xf numFmtId="165" fontId="13" fillId="30" borderId="10" xfId="0" applyNumberFormat="1" applyFont="1" applyFill="1" applyBorder="1" applyAlignment="1">
      <alignment horizontal="center" vertical="center" wrapText="1"/>
    </xf>
    <xf numFmtId="0" fontId="72" fillId="45" borderId="10" xfId="40" applyFont="1" applyFill="1" applyBorder="1" applyAlignment="1" applyProtection="1">
      <alignment wrapText="1"/>
    </xf>
    <xf numFmtId="165" fontId="70" fillId="45" borderId="10" xfId="40" applyNumberFormat="1" applyFont="1" applyFill="1" applyBorder="1" applyAlignment="1" applyProtection="1">
      <alignment wrapText="1"/>
    </xf>
    <xf numFmtId="0" fontId="0" fillId="0" borderId="0" xfId="0"/>
    <xf numFmtId="0" fontId="50" fillId="32" borderId="14" xfId="40" applyFont="1" applyFill="1" applyBorder="1" applyAlignment="1">
      <alignment horizontal="left" vertical="center" wrapText="1"/>
    </xf>
    <xf numFmtId="0" fontId="13" fillId="24" borderId="10" xfId="0" applyFont="1" applyFill="1" applyBorder="1" applyAlignment="1">
      <alignment horizontal="center" vertical="center"/>
    </xf>
    <xf numFmtId="0" fontId="56" fillId="26" borderId="10" xfId="40" applyFont="1" applyFill="1" applyBorder="1" applyAlignment="1">
      <alignment wrapText="1"/>
    </xf>
    <xf numFmtId="165" fontId="48" fillId="0" borderId="10" xfId="0" applyNumberFormat="1" applyFont="1" applyBorder="1" applyAlignment="1">
      <alignment horizontal="right"/>
    </xf>
    <xf numFmtId="0" fontId="20" fillId="33" borderId="10" xfId="0" applyFont="1" applyFill="1" applyBorder="1"/>
    <xf numFmtId="165" fontId="48" fillId="30" borderId="10" xfId="0" applyNumberFormat="1" applyFont="1" applyFill="1" applyBorder="1"/>
    <xf numFmtId="165" fontId="48" fillId="28" borderId="10" xfId="0" applyNumberFormat="1" applyFont="1" applyFill="1" applyBorder="1"/>
    <xf numFmtId="165" fontId="48" fillId="0" borderId="10" xfId="0" applyNumberFormat="1" applyFont="1" applyBorder="1" applyAlignment="1">
      <alignment horizontal="right" vertical="center"/>
    </xf>
    <xf numFmtId="0" fontId="20" fillId="0" borderId="10" xfId="0" applyFont="1" applyBorder="1"/>
    <xf numFmtId="0" fontId="56" fillId="0" borderId="10" xfId="0" applyFont="1" applyBorder="1"/>
    <xf numFmtId="0" fontId="13" fillId="0" borderId="0" xfId="0" applyFont="1"/>
    <xf numFmtId="0" fontId="0" fillId="0" borderId="0" xfId="0" applyAlignment="1">
      <alignment horizontal="left" vertical="center" wrapText="1" indent="2"/>
    </xf>
    <xf numFmtId="0" fontId="13" fillId="29" borderId="0" xfId="0" applyFont="1" applyFill="1"/>
    <xf numFmtId="0" fontId="13" fillId="24" borderId="0" xfId="0" applyFont="1" applyFill="1" applyAlignment="1">
      <alignment horizontal="center" vertical="center"/>
    </xf>
    <xf numFmtId="0" fontId="49" fillId="0" borderId="0" xfId="0" applyFont="1"/>
    <xf numFmtId="0" fontId="20" fillId="0" borderId="0" xfId="0" applyFont="1" applyAlignment="1">
      <alignment horizontal="left" vertical="center"/>
    </xf>
    <xf numFmtId="0" fontId="20" fillId="0" borderId="0" xfId="0" applyFont="1"/>
    <xf numFmtId="0" fontId="20" fillId="0" borderId="0" xfId="0" applyFont="1" applyAlignment="1">
      <alignment horizontal="left"/>
    </xf>
    <xf numFmtId="0" fontId="20" fillId="0" borderId="0" xfId="0" applyFont="1" applyAlignment="1">
      <alignment horizontal="justify" vertical="center"/>
    </xf>
    <xf numFmtId="0" fontId="107" fillId="43" borderId="27" xfId="0" applyFont="1" applyFill="1" applyBorder="1" applyAlignment="1" applyProtection="1">
      <alignment horizontal="center" vertical="center"/>
    </xf>
    <xf numFmtId="0" fontId="107" fillId="43" borderId="31" xfId="0" applyFont="1" applyFill="1" applyBorder="1" applyAlignment="1">
      <alignment horizontal="center" vertical="center"/>
    </xf>
    <xf numFmtId="0" fontId="81" fillId="49" borderId="0" xfId="0" applyFont="1" applyFill="1" applyBorder="1" applyProtection="1"/>
    <xf numFmtId="0" fontId="92" fillId="49" borderId="0" xfId="0" applyFont="1" applyFill="1" applyBorder="1" applyAlignment="1" applyProtection="1">
      <alignment horizontal="center" vertical="center"/>
    </xf>
    <xf numFmtId="0" fontId="80" fillId="49" borderId="0" xfId="0" applyFont="1" applyFill="1" applyBorder="1" applyAlignment="1" applyProtection="1"/>
    <xf numFmtId="0" fontId="93" fillId="49" borderId="0" xfId="0" applyFont="1" applyFill="1" applyBorder="1" applyAlignment="1" applyProtection="1">
      <alignment vertical="center" wrapText="1"/>
    </xf>
    <xf numFmtId="0" fontId="94" fillId="49" borderId="0" xfId="0" applyFont="1" applyFill="1" applyBorder="1" applyProtection="1"/>
    <xf numFmtId="0" fontId="95" fillId="49" borderId="0" xfId="34" applyFont="1" applyFill="1" applyBorder="1" applyAlignment="1" applyProtection="1">
      <alignment horizontal="left"/>
    </xf>
    <xf numFmtId="0" fontId="95" fillId="49" borderId="0" xfId="0" applyFont="1" applyFill="1" applyBorder="1" applyProtection="1"/>
    <xf numFmtId="0" fontId="143" fillId="49" borderId="0" xfId="0" applyFont="1" applyFill="1" applyBorder="1" applyProtection="1"/>
    <xf numFmtId="0" fontId="95" fillId="49" borderId="0" xfId="34" applyFont="1" applyFill="1" applyBorder="1" applyAlignment="1" applyProtection="1"/>
    <xf numFmtId="0" fontId="91" fillId="49" borderId="0" xfId="0" applyFont="1" applyFill="1" applyBorder="1" applyAlignment="1" applyProtection="1">
      <alignment vertical="center" wrapText="1"/>
    </xf>
    <xf numFmtId="0" fontId="143" fillId="49" borderId="0" xfId="0" applyFont="1" applyFill="1" applyBorder="1" applyAlignment="1" applyProtection="1">
      <alignment vertical="center" wrapText="1"/>
    </xf>
    <xf numFmtId="0" fontId="113" fillId="49" borderId="0" xfId="34" applyFont="1" applyFill="1" applyBorder="1" applyAlignment="1" applyProtection="1"/>
    <xf numFmtId="0" fontId="96" fillId="49" borderId="0" xfId="0" applyFont="1" applyFill="1" applyBorder="1" applyProtection="1"/>
    <xf numFmtId="0" fontId="81" fillId="49" borderId="0" xfId="0" applyFont="1" applyFill="1" applyBorder="1" applyAlignment="1" applyProtection="1">
      <alignment vertical="center"/>
    </xf>
    <xf numFmtId="0" fontId="106" fillId="49" borderId="0" xfId="0" applyFont="1" applyFill="1" applyProtection="1"/>
    <xf numFmtId="0" fontId="70" fillId="49" borderId="0" xfId="0" applyFont="1" applyFill="1" applyProtection="1"/>
    <xf numFmtId="0" fontId="0" fillId="49" borderId="0" xfId="0" applyFill="1" applyAlignment="1" applyProtection="1">
      <alignment vertical="center" wrapText="1"/>
    </xf>
    <xf numFmtId="1" fontId="70" fillId="49" borderId="0" xfId="0" applyNumberFormat="1" applyFont="1" applyFill="1" applyProtection="1"/>
    <xf numFmtId="1" fontId="106" fillId="49" borderId="0" xfId="0" applyNumberFormat="1" applyFont="1" applyFill="1" applyProtection="1"/>
    <xf numFmtId="0" fontId="70" fillId="49" borderId="0" xfId="0" applyNumberFormat="1" applyFont="1" applyFill="1" applyProtection="1"/>
    <xf numFmtId="0" fontId="81" fillId="49" borderId="0" xfId="0" applyFont="1" applyFill="1" applyProtection="1"/>
    <xf numFmtId="0" fontId="106" fillId="49" borderId="0" xfId="0" applyNumberFormat="1" applyFont="1" applyFill="1" applyProtection="1"/>
    <xf numFmtId="0" fontId="105" fillId="49" borderId="0" xfId="0" applyFont="1" applyFill="1" applyBorder="1" applyAlignment="1" applyProtection="1">
      <alignment horizontal="center" vertical="center" wrapText="1"/>
    </xf>
    <xf numFmtId="0" fontId="70" fillId="49" borderId="0" xfId="0" applyFont="1" applyFill="1" applyBorder="1" applyAlignment="1" applyProtection="1">
      <alignment horizontal="center" vertical="center" wrapText="1"/>
    </xf>
    <xf numFmtId="0" fontId="69" fillId="49" borderId="0" xfId="0" applyFont="1" applyFill="1" applyBorder="1" applyAlignment="1" applyProtection="1">
      <alignment vertical="center" wrapText="1"/>
    </xf>
    <xf numFmtId="0" fontId="144" fillId="49" borderId="0" xfId="0" applyFont="1" applyFill="1" applyBorder="1" applyAlignment="1" applyProtection="1">
      <alignment horizontal="center" vertical="center" wrapText="1"/>
    </xf>
    <xf numFmtId="0" fontId="105" fillId="49" borderId="0" xfId="0" applyFont="1" applyFill="1" applyBorder="1" applyAlignment="1" applyProtection="1">
      <alignment vertical="center" wrapText="1"/>
    </xf>
    <xf numFmtId="0" fontId="106" fillId="49" borderId="0" xfId="0" applyFont="1" applyFill="1" applyBorder="1" applyAlignment="1" applyProtection="1">
      <alignment horizontal="center"/>
    </xf>
    <xf numFmtId="0" fontId="106" fillId="49" borderId="0" xfId="0" applyFont="1" applyFill="1" applyBorder="1" applyProtection="1"/>
    <xf numFmtId="0" fontId="141" fillId="49" borderId="0" xfId="0" applyFont="1" applyFill="1" applyBorder="1" applyProtection="1"/>
    <xf numFmtId="4" fontId="106" fillId="49" borderId="0" xfId="0" applyNumberFormat="1" applyFont="1" applyFill="1" applyBorder="1" applyProtection="1"/>
    <xf numFmtId="4" fontId="106" fillId="49" borderId="0" xfId="0" applyNumberFormat="1" applyFont="1" applyFill="1" applyBorder="1" applyAlignment="1" applyProtection="1">
      <alignment horizontal="right"/>
    </xf>
    <xf numFmtId="166" fontId="106" fillId="49" borderId="0" xfId="0" applyNumberFormat="1" applyFont="1" applyFill="1" applyBorder="1" applyProtection="1"/>
    <xf numFmtId="0" fontId="106" fillId="49" borderId="0" xfId="0" applyFont="1" applyFill="1" applyBorder="1" applyAlignment="1" applyProtection="1">
      <alignment vertical="center"/>
    </xf>
    <xf numFmtId="0" fontId="106" fillId="49" borderId="0" xfId="0" applyFont="1" applyFill="1" applyAlignment="1" applyProtection="1"/>
    <xf numFmtId="0" fontId="106" fillId="0" borderId="22" xfId="0" applyFont="1" applyFill="1" applyBorder="1" applyProtection="1"/>
    <xf numFmtId="1" fontId="117" fillId="0" borderId="1" xfId="0" applyNumberFormat="1" applyFont="1" applyFill="1" applyBorder="1" applyAlignment="1" applyProtection="1">
      <alignment horizontal="center"/>
    </xf>
    <xf numFmtId="1" fontId="106" fillId="0" borderId="1" xfId="0" applyNumberFormat="1" applyFont="1" applyFill="1" applyBorder="1" applyAlignment="1" applyProtection="1">
      <alignment horizontal="center"/>
    </xf>
    <xf numFmtId="4" fontId="106" fillId="0" borderId="26" xfId="0" applyNumberFormat="1" applyFont="1" applyFill="1" applyBorder="1" applyProtection="1"/>
    <xf numFmtId="4" fontId="106" fillId="0" borderId="26" xfId="0" applyNumberFormat="1" applyFont="1" applyFill="1" applyBorder="1" applyAlignment="1" applyProtection="1">
      <alignment horizontal="right"/>
    </xf>
    <xf numFmtId="4" fontId="81" fillId="0" borderId="26" xfId="0" applyNumberFormat="1" applyFont="1" applyFill="1" applyBorder="1" applyAlignment="1" applyProtection="1">
      <alignment horizontal="right" vertical="center"/>
    </xf>
    <xf numFmtId="0" fontId="106" fillId="49" borderId="0" xfId="0" applyFont="1" applyFill="1"/>
    <xf numFmtId="0" fontId="152" fillId="49" borderId="0" xfId="50" applyFill="1"/>
    <xf numFmtId="0" fontId="105" fillId="50" borderId="0" xfId="0" applyFont="1" applyFill="1" applyBorder="1" applyAlignment="1" applyProtection="1">
      <alignment horizontal="center" vertical="center" wrapText="1"/>
    </xf>
    <xf numFmtId="0" fontId="155" fillId="49" borderId="0" xfId="0" applyFont="1" applyFill="1" applyBorder="1" applyAlignment="1" applyProtection="1">
      <alignment horizontal="center"/>
    </xf>
    <xf numFmtId="0" fontId="156" fillId="49" borderId="0" xfId="0" applyFont="1" applyFill="1" applyBorder="1" applyAlignment="1" applyProtection="1">
      <alignment vertical="center"/>
    </xf>
    <xf numFmtId="0" fontId="155" fillId="49" borderId="0" xfId="0" applyFont="1" applyFill="1" applyBorder="1" applyAlignment="1" applyProtection="1">
      <alignment horizontal="right" vertical="center"/>
    </xf>
    <xf numFmtId="0" fontId="105" fillId="49" borderId="67" xfId="0" applyFont="1" applyFill="1" applyBorder="1" applyAlignment="1" applyProtection="1">
      <alignment horizontal="center" vertical="center" wrapText="1"/>
    </xf>
    <xf numFmtId="0" fontId="105" fillId="49" borderId="68" xfId="0" applyFont="1" applyFill="1" applyBorder="1" applyAlignment="1" applyProtection="1">
      <alignment horizontal="center" vertical="center" wrapText="1"/>
    </xf>
    <xf numFmtId="0" fontId="70" fillId="49" borderId="68" xfId="0" applyFont="1" applyFill="1" applyBorder="1" applyAlignment="1" applyProtection="1">
      <alignment horizontal="center" vertical="center" wrapText="1"/>
    </xf>
    <xf numFmtId="0" fontId="106" fillId="49" borderId="68" xfId="0" applyFont="1" applyFill="1" applyBorder="1" applyProtection="1"/>
    <xf numFmtId="0" fontId="105" fillId="49" borderId="68" xfId="0" applyFont="1" applyFill="1" applyBorder="1" applyAlignment="1" applyProtection="1">
      <alignment vertical="center" wrapText="1"/>
    </xf>
    <xf numFmtId="0" fontId="106" fillId="49" borderId="68" xfId="0" applyFont="1" applyFill="1" applyBorder="1" applyAlignment="1" applyProtection="1">
      <alignment horizontal="center"/>
    </xf>
    <xf numFmtId="0" fontId="106" fillId="49" borderId="71" xfId="0" applyFont="1" applyFill="1" applyBorder="1" applyProtection="1"/>
    <xf numFmtId="0" fontId="106" fillId="49" borderId="70" xfId="0" applyFont="1" applyFill="1" applyBorder="1" applyProtection="1"/>
    <xf numFmtId="0" fontId="106" fillId="49" borderId="73" xfId="0" applyFont="1" applyFill="1" applyBorder="1" applyProtection="1"/>
    <xf numFmtId="0" fontId="106" fillId="49" borderId="74" xfId="0" applyFont="1" applyFill="1" applyBorder="1" applyProtection="1"/>
    <xf numFmtId="0" fontId="156" fillId="49" borderId="69" xfId="0" applyFont="1" applyFill="1" applyBorder="1" applyAlignment="1" applyProtection="1">
      <alignment horizontal="center"/>
    </xf>
    <xf numFmtId="0" fontId="156" fillId="49" borderId="74" xfId="0" applyFont="1" applyFill="1" applyBorder="1" applyProtection="1"/>
    <xf numFmtId="0" fontId="156" fillId="49" borderId="72" xfId="0" applyFont="1" applyFill="1" applyBorder="1" applyProtection="1"/>
    <xf numFmtId="0" fontId="106" fillId="49" borderId="67" xfId="0" applyFont="1" applyFill="1" applyBorder="1" applyProtection="1"/>
    <xf numFmtId="0" fontId="105" fillId="49" borderId="68" xfId="0" applyFont="1" applyFill="1" applyBorder="1" applyAlignment="1" applyProtection="1">
      <alignment horizontal="left" vertical="center" wrapText="1"/>
    </xf>
    <xf numFmtId="0" fontId="106" fillId="49" borderId="69" xfId="0" applyFont="1" applyFill="1" applyBorder="1" applyProtection="1"/>
    <xf numFmtId="0" fontId="106" fillId="49" borderId="72" xfId="0" applyFont="1" applyFill="1" applyBorder="1" applyProtection="1"/>
    <xf numFmtId="0" fontId="155" fillId="49" borderId="0" xfId="0" applyFont="1" applyFill="1" applyBorder="1" applyProtection="1"/>
    <xf numFmtId="0" fontId="134" fillId="49" borderId="70" xfId="0" applyFont="1" applyFill="1" applyBorder="1" applyAlignment="1" applyProtection="1">
      <alignment horizontal="right" vertical="top"/>
    </xf>
    <xf numFmtId="0" fontId="134" fillId="49" borderId="71" xfId="0" applyFont="1" applyFill="1" applyBorder="1" applyAlignment="1" applyProtection="1">
      <alignment horizontal="right" vertical="center"/>
    </xf>
    <xf numFmtId="0" fontId="108" fillId="49" borderId="0" xfId="0" applyFont="1" applyFill="1" applyProtection="1"/>
    <xf numFmtId="3" fontId="145" fillId="50" borderId="57" xfId="0" applyNumberFormat="1" applyFont="1" applyFill="1" applyBorder="1" applyAlignment="1" applyProtection="1">
      <alignment vertical="center"/>
    </xf>
    <xf numFmtId="0" fontId="146" fillId="50" borderId="58" xfId="0" applyFont="1" applyFill="1" applyBorder="1" applyAlignment="1" applyProtection="1">
      <alignment horizontal="center" vertical="center"/>
    </xf>
    <xf numFmtId="1" fontId="80" fillId="50" borderId="35" xfId="0" applyNumberFormat="1" applyFont="1" applyFill="1" applyBorder="1" applyAlignment="1" applyProtection="1">
      <alignment horizontal="center" vertical="center"/>
    </xf>
    <xf numFmtId="0" fontId="86" fillId="50" borderId="34" xfId="0" applyFont="1" applyFill="1" applyBorder="1" applyAlignment="1" applyProtection="1">
      <alignment horizontal="center" vertical="center" wrapText="1"/>
    </xf>
    <xf numFmtId="0" fontId="86" fillId="50" borderId="0" xfId="0" applyFont="1" applyFill="1" applyBorder="1" applyAlignment="1" applyProtection="1">
      <alignment horizontal="center" vertical="center" wrapText="1"/>
    </xf>
    <xf numFmtId="0" fontId="76" fillId="50" borderId="0" xfId="0" applyFont="1" applyFill="1" applyProtection="1"/>
    <xf numFmtId="0" fontId="86" fillId="50" borderId="28" xfId="0" applyFont="1" applyFill="1" applyBorder="1" applyAlignment="1" applyProtection="1">
      <alignment horizontal="center" vertical="center"/>
    </xf>
    <xf numFmtId="0" fontId="86" fillId="50" borderId="35" xfId="0" applyFont="1" applyFill="1" applyBorder="1" applyAlignment="1" applyProtection="1">
      <alignment horizontal="center" vertical="center"/>
    </xf>
    <xf numFmtId="0" fontId="86" fillId="50" borderId="38" xfId="0" applyFont="1" applyFill="1" applyBorder="1" applyAlignment="1" applyProtection="1">
      <alignment horizontal="center" vertical="center"/>
    </xf>
    <xf numFmtId="0" fontId="142" fillId="46" borderId="76" xfId="0" applyFont="1" applyFill="1" applyBorder="1" applyAlignment="1">
      <alignment horizontal="right" vertical="center"/>
    </xf>
    <xf numFmtId="0" fontId="162" fillId="46" borderId="75" xfId="0" applyFont="1" applyFill="1" applyBorder="1" applyAlignment="1">
      <alignment horizontal="center" vertical="center"/>
    </xf>
    <xf numFmtId="0" fontId="107" fillId="50" borderId="28" xfId="0" applyFont="1" applyFill="1" applyBorder="1" applyAlignment="1">
      <alignment horizontal="center" vertical="center" wrapText="1"/>
    </xf>
    <xf numFmtId="0" fontId="70" fillId="51" borderId="0" xfId="0" applyFont="1" applyFill="1" applyProtection="1"/>
    <xf numFmtId="0" fontId="81" fillId="51" borderId="0" xfId="0" applyFont="1" applyFill="1" applyProtection="1"/>
    <xf numFmtId="0" fontId="81" fillId="51" borderId="0" xfId="0" applyFont="1" applyFill="1" applyBorder="1"/>
    <xf numFmtId="0" fontId="118" fillId="51" borderId="0" xfId="0" applyFont="1" applyFill="1"/>
    <xf numFmtId="0" fontId="118" fillId="51" borderId="0" xfId="0" applyFont="1" applyFill="1" applyAlignment="1">
      <alignment horizontal="center" vertical="center" wrapText="1"/>
    </xf>
    <xf numFmtId="0" fontId="100" fillId="50" borderId="18" xfId="0" applyFont="1" applyFill="1" applyBorder="1" applyAlignment="1">
      <alignment horizontal="center" vertical="center" wrapText="1"/>
    </xf>
    <xf numFmtId="0" fontId="106" fillId="51" borderId="0" xfId="0" applyFont="1" applyFill="1"/>
    <xf numFmtId="165" fontId="87" fillId="51" borderId="22" xfId="0" applyNumberFormat="1" applyFont="1" applyFill="1" applyBorder="1" applyAlignment="1">
      <alignment horizontal="center" vertical="center" wrapText="1"/>
    </xf>
    <xf numFmtId="165" fontId="87" fillId="51" borderId="1" xfId="0" applyNumberFormat="1" applyFont="1" applyFill="1" applyBorder="1" applyAlignment="1">
      <alignment horizontal="center" vertical="center" wrapText="1"/>
    </xf>
    <xf numFmtId="165" fontId="87" fillId="51" borderId="33" xfId="0" applyNumberFormat="1" applyFont="1" applyFill="1" applyBorder="1" applyAlignment="1">
      <alignment horizontal="center" vertical="center" wrapText="1"/>
    </xf>
    <xf numFmtId="49" fontId="106" fillId="51" borderId="0" xfId="0" applyNumberFormat="1" applyFont="1" applyFill="1" applyAlignment="1">
      <alignment horizontal="left"/>
    </xf>
    <xf numFmtId="0" fontId="106" fillId="51" borderId="0" xfId="0" applyFont="1" applyFill="1" applyBorder="1" applyAlignment="1"/>
    <xf numFmtId="0" fontId="110" fillId="51" borderId="0" xfId="0" applyFont="1" applyFill="1"/>
    <xf numFmtId="49" fontId="81" fillId="51" borderId="0" xfId="0" applyNumberFormat="1" applyFont="1" applyFill="1" applyAlignment="1">
      <alignment horizontal="left"/>
    </xf>
    <xf numFmtId="0" fontId="81" fillId="51" borderId="0" xfId="0" applyFont="1" applyFill="1" applyBorder="1" applyAlignment="1"/>
    <xf numFmtId="0" fontId="70" fillId="51" borderId="0" xfId="0" applyFont="1" applyFill="1"/>
    <xf numFmtId="2" fontId="150" fillId="51" borderId="0" xfId="0" applyNumberFormat="1" applyFont="1" applyFill="1" applyBorder="1"/>
    <xf numFmtId="0" fontId="70" fillId="51" borderId="0" xfId="0" applyFont="1" applyFill="1" applyBorder="1"/>
    <xf numFmtId="0" fontId="147" fillId="51" borderId="0" xfId="0" applyFont="1" applyFill="1" applyBorder="1"/>
    <xf numFmtId="0" fontId="149" fillId="51" borderId="0" xfId="0" applyFont="1" applyFill="1" applyBorder="1"/>
    <xf numFmtId="0" fontId="163" fillId="51" borderId="0" xfId="0" applyFont="1" applyFill="1" applyProtection="1"/>
    <xf numFmtId="0" fontId="163" fillId="51" borderId="0" xfId="0" applyFont="1" applyFill="1"/>
    <xf numFmtId="0" fontId="165" fillId="51" borderId="0" xfId="0" applyFont="1" applyFill="1"/>
    <xf numFmtId="2" fontId="108" fillId="47" borderId="32" xfId="0" applyNumberFormat="1" applyFont="1" applyFill="1" applyBorder="1"/>
    <xf numFmtId="165" fontId="109" fillId="47" borderId="11" xfId="0" applyNumberFormat="1" applyFont="1" applyFill="1" applyBorder="1"/>
    <xf numFmtId="0" fontId="162" fillId="47" borderId="30" xfId="0" applyFont="1" applyFill="1" applyBorder="1" applyAlignment="1">
      <alignment horizontal="center" vertical="center"/>
    </xf>
    <xf numFmtId="14" fontId="70" fillId="47" borderId="30" xfId="0" applyNumberFormat="1" applyFont="1" applyFill="1" applyBorder="1" applyAlignment="1">
      <alignment horizontal="center" vertical="center"/>
    </xf>
    <xf numFmtId="0" fontId="81" fillId="51" borderId="0" xfId="0" applyFont="1" applyFill="1" applyBorder="1" applyProtection="1"/>
    <xf numFmtId="0" fontId="81" fillId="51" borderId="0" xfId="0" applyFont="1" applyFill="1" applyAlignment="1" applyProtection="1">
      <alignment vertical="center"/>
    </xf>
    <xf numFmtId="3" fontId="81" fillId="51" borderId="0" xfId="0" applyNumberFormat="1" applyFont="1" applyFill="1" applyProtection="1"/>
    <xf numFmtId="0" fontId="165" fillId="51" borderId="0" xfId="0" applyFont="1" applyFill="1" applyProtection="1"/>
    <xf numFmtId="0" fontId="165" fillId="51" borderId="0" xfId="0" applyFont="1" applyFill="1" applyBorder="1" applyProtection="1"/>
    <xf numFmtId="0" fontId="165" fillId="51" borderId="0" xfId="0" applyFont="1" applyFill="1" applyAlignment="1" applyProtection="1">
      <alignment vertical="center"/>
    </xf>
    <xf numFmtId="1" fontId="167" fillId="51" borderId="0" xfId="0" applyNumberFormat="1" applyFont="1" applyFill="1" applyBorder="1" applyAlignment="1" applyProtection="1">
      <alignment horizontal="center" vertical="center"/>
    </xf>
    <xf numFmtId="0" fontId="167" fillId="51" borderId="0" xfId="0" applyFont="1" applyFill="1" applyBorder="1" applyAlignment="1" applyProtection="1">
      <alignment horizontal="center" vertical="center"/>
    </xf>
    <xf numFmtId="0" fontId="167" fillId="51" borderId="0" xfId="0" applyFont="1" applyFill="1" applyBorder="1" applyAlignment="1" applyProtection="1">
      <alignment vertical="center"/>
    </xf>
    <xf numFmtId="3" fontId="165" fillId="51" borderId="0" xfId="0" applyNumberFormat="1" applyFont="1" applyFill="1" applyBorder="1" applyAlignment="1" applyProtection="1">
      <alignment vertical="center"/>
    </xf>
    <xf numFmtId="3" fontId="165" fillId="51" borderId="0" xfId="0" applyNumberFormat="1" applyFont="1" applyFill="1" applyBorder="1" applyAlignment="1" applyProtection="1">
      <alignment horizontal="right" vertical="center"/>
    </xf>
    <xf numFmtId="0" fontId="167" fillId="51" borderId="0" xfId="0" applyFont="1" applyFill="1" applyBorder="1" applyAlignment="1" applyProtection="1">
      <alignment horizontal="center"/>
    </xf>
    <xf numFmtId="0" fontId="167" fillId="51" borderId="0" xfId="0" applyFont="1" applyFill="1" applyBorder="1" applyProtection="1"/>
    <xf numFmtId="0" fontId="171" fillId="51" borderId="0" xfId="0" applyFont="1" applyFill="1" applyBorder="1" applyAlignment="1" applyProtection="1">
      <alignment horizontal="right"/>
    </xf>
    <xf numFmtId="3" fontId="165" fillId="51" borderId="0" xfId="0" applyNumberFormat="1" applyFont="1" applyFill="1" applyProtection="1"/>
    <xf numFmtId="3" fontId="167" fillId="51" borderId="0" xfId="0" applyNumberFormat="1" applyFont="1" applyFill="1" applyBorder="1" applyAlignment="1" applyProtection="1">
      <alignment vertical="center"/>
    </xf>
    <xf numFmtId="0" fontId="165" fillId="51" borderId="0" xfId="0" applyFont="1" applyFill="1" applyAlignment="1" applyProtection="1">
      <alignment horizontal="left" vertical="center"/>
    </xf>
    <xf numFmtId="0" fontId="113" fillId="51" borderId="0" xfId="0" applyFont="1" applyFill="1" applyBorder="1" applyAlignment="1" applyProtection="1">
      <alignment horizontal="left" vertical="center" wrapText="1"/>
    </xf>
    <xf numFmtId="0" fontId="83" fillId="51" borderId="0" xfId="0" applyNumberFormat="1" applyFont="1" applyFill="1" applyBorder="1" applyAlignment="1" applyProtection="1">
      <alignment horizontal="left" vertical="center" wrapText="1"/>
    </xf>
    <xf numFmtId="0" fontId="116" fillId="51" borderId="0" xfId="0" applyFont="1" applyFill="1"/>
    <xf numFmtId="0" fontId="162" fillId="46" borderId="77" xfId="0" applyFont="1" applyFill="1" applyBorder="1" applyAlignment="1">
      <alignment horizontal="left"/>
    </xf>
    <xf numFmtId="0" fontId="162" fillId="46" borderId="76" xfId="0" applyFont="1" applyFill="1" applyBorder="1" applyAlignment="1">
      <alignment horizontal="right" vertical="center"/>
    </xf>
    <xf numFmtId="0" fontId="162" fillId="46" borderId="77" xfId="0" applyFont="1" applyFill="1" applyBorder="1" applyAlignment="1">
      <alignment horizontal="left" vertical="center"/>
    </xf>
    <xf numFmtId="0" fontId="88" fillId="51" borderId="67" xfId="0" applyFont="1" applyFill="1" applyBorder="1" applyAlignment="1" applyProtection="1">
      <alignment horizontal="right" vertical="center" wrapText="1"/>
    </xf>
    <xf numFmtId="0" fontId="88" fillId="51" borderId="71" xfId="0" applyFont="1" applyFill="1" applyBorder="1" applyAlignment="1" applyProtection="1">
      <alignment horizontal="right" vertical="center" wrapText="1"/>
    </xf>
    <xf numFmtId="0" fontId="106" fillId="51" borderId="71" xfId="0" applyFont="1" applyFill="1" applyBorder="1"/>
    <xf numFmtId="0" fontId="70" fillId="51" borderId="71" xfId="0" applyFont="1" applyFill="1" applyBorder="1" applyAlignment="1" applyProtection="1">
      <alignment vertical="center" wrapText="1"/>
    </xf>
    <xf numFmtId="0" fontId="70" fillId="51" borderId="70" xfId="0" applyFont="1" applyFill="1" applyBorder="1" applyAlignment="1" applyProtection="1">
      <alignment vertical="center" wrapText="1"/>
    </xf>
    <xf numFmtId="0" fontId="70" fillId="51" borderId="0" xfId="0" applyFont="1" applyFill="1" applyAlignment="1">
      <alignment horizontal="right"/>
    </xf>
    <xf numFmtId="0" fontId="70" fillId="51" borderId="0" xfId="0" applyFont="1" applyFill="1" applyBorder="1" applyAlignment="1" applyProtection="1">
      <alignment vertical="center" wrapText="1"/>
    </xf>
    <xf numFmtId="0" fontId="106" fillId="51" borderId="0" xfId="0" applyFont="1" applyFill="1" applyAlignment="1">
      <alignment horizontal="right"/>
    </xf>
    <xf numFmtId="0" fontId="116" fillId="51" borderId="0" xfId="0" applyFont="1" applyFill="1" applyAlignment="1"/>
    <xf numFmtId="0" fontId="111" fillId="51" borderId="0" xfId="0" applyFont="1" applyFill="1" applyBorder="1" applyAlignment="1">
      <alignment horizontal="right"/>
    </xf>
    <xf numFmtId="0" fontId="81" fillId="51" borderId="0" xfId="0" applyFont="1" applyFill="1"/>
    <xf numFmtId="0" fontId="70" fillId="51" borderId="23" xfId="0" applyFont="1" applyFill="1" applyBorder="1" applyAlignment="1" applyProtection="1">
      <alignment vertical="center" wrapText="1"/>
    </xf>
    <xf numFmtId="0" fontId="99" fillId="51" borderId="67" xfId="0" applyFont="1" applyFill="1" applyBorder="1" applyAlignment="1" applyProtection="1">
      <alignment horizontal="right" vertical="center" wrapText="1"/>
    </xf>
    <xf numFmtId="0" fontId="99" fillId="51" borderId="71" xfId="0" applyFont="1" applyFill="1" applyBorder="1" applyAlignment="1" applyProtection="1">
      <alignment horizontal="right" vertical="center" wrapText="1"/>
    </xf>
    <xf numFmtId="0" fontId="108" fillId="51" borderId="71" xfId="0" applyFont="1" applyFill="1" applyBorder="1"/>
    <xf numFmtId="0" fontId="108" fillId="51" borderId="70" xfId="0" applyFont="1" applyFill="1" applyBorder="1"/>
    <xf numFmtId="0" fontId="141" fillId="51" borderId="0" xfId="0" applyFont="1" applyFill="1" applyAlignment="1" applyProtection="1">
      <alignment vertical="center"/>
    </xf>
    <xf numFmtId="0" fontId="141" fillId="51" borderId="0" xfId="0" applyFont="1" applyFill="1" applyProtection="1"/>
    <xf numFmtId="0" fontId="142" fillId="51" borderId="0" xfId="0" applyFont="1" applyFill="1" applyProtection="1"/>
    <xf numFmtId="0" fontId="108" fillId="51" borderId="0" xfId="0" applyFont="1" applyFill="1" applyProtection="1"/>
    <xf numFmtId="0" fontId="108" fillId="51" borderId="0" xfId="0" applyFont="1" applyFill="1" applyAlignment="1" applyProtection="1">
      <alignment horizontal="right"/>
    </xf>
    <xf numFmtId="166" fontId="81" fillId="47" borderId="26" xfId="0" applyNumberFormat="1" applyFont="1" applyFill="1" applyBorder="1" applyProtection="1"/>
    <xf numFmtId="0" fontId="81" fillId="47" borderId="16" xfId="0" applyFont="1" applyFill="1" applyBorder="1" applyProtection="1"/>
    <xf numFmtId="0" fontId="81" fillId="50" borderId="0" xfId="0" applyFont="1" applyFill="1" applyProtection="1"/>
    <xf numFmtId="0" fontId="81" fillId="0" borderId="22" xfId="0" applyFont="1" applyFill="1" applyBorder="1" applyAlignment="1" applyProtection="1">
      <alignment vertical="center"/>
    </xf>
    <xf numFmtId="0" fontId="106" fillId="0" borderId="78" xfId="0" applyFont="1" applyFill="1" applyBorder="1" applyProtection="1"/>
    <xf numFmtId="0" fontId="164" fillId="49" borderId="0" xfId="0" applyFont="1" applyFill="1" applyBorder="1" applyAlignment="1" applyProtection="1">
      <alignment horizontal="justify" vertical="center"/>
    </xf>
    <xf numFmtId="0" fontId="164" fillId="49" borderId="72" xfId="0" applyFont="1" applyFill="1" applyBorder="1" applyAlignment="1" applyProtection="1">
      <alignment horizontal="justify" vertical="center"/>
    </xf>
    <xf numFmtId="0" fontId="146" fillId="50" borderId="36" xfId="0" applyFont="1" applyFill="1" applyBorder="1" applyAlignment="1" applyProtection="1">
      <alignment horizontal="left" vertical="center" wrapText="1"/>
    </xf>
    <xf numFmtId="1" fontId="117" fillId="51" borderId="37" xfId="0" applyNumberFormat="1" applyFont="1" applyFill="1" applyBorder="1" applyAlignment="1" applyProtection="1">
      <alignment horizontal="center"/>
    </xf>
    <xf numFmtId="1" fontId="117" fillId="51" borderId="0" xfId="0" applyNumberFormat="1" applyFont="1" applyFill="1" applyBorder="1" applyAlignment="1" applyProtection="1">
      <alignment horizontal="center"/>
    </xf>
    <xf numFmtId="0" fontId="117" fillId="51" borderId="20" xfId="0" applyFont="1" applyFill="1" applyBorder="1" applyAlignment="1" applyProtection="1">
      <alignment horizontal="center"/>
    </xf>
    <xf numFmtId="0" fontId="160" fillId="51" borderId="0" xfId="0" applyFont="1" applyFill="1" applyAlignment="1" applyProtection="1">
      <alignment vertical="center"/>
    </xf>
    <xf numFmtId="4" fontId="117" fillId="47" borderId="22" xfId="0" applyNumberFormat="1" applyFont="1" applyFill="1" applyBorder="1" applyAlignment="1" applyProtection="1">
      <alignment horizontal="right"/>
    </xf>
    <xf numFmtId="4" fontId="117" fillId="47" borderId="1" xfId="0" applyNumberFormat="1" applyFont="1" applyFill="1" applyBorder="1" applyProtection="1"/>
    <xf numFmtId="0" fontId="106" fillId="51" borderId="0" xfId="0" applyFont="1" applyFill="1" applyBorder="1" applyAlignment="1"/>
    <xf numFmtId="0" fontId="106" fillId="51" borderId="0" xfId="0" applyFont="1" applyFill="1" applyBorder="1" applyAlignment="1"/>
    <xf numFmtId="0" fontId="72" fillId="52" borderId="10" xfId="40" applyFont="1" applyFill="1" applyBorder="1" applyAlignment="1" applyProtection="1">
      <alignment wrapText="1"/>
    </xf>
    <xf numFmtId="165" fontId="70" fillId="52" borderId="10" xfId="40" applyNumberFormat="1" applyFont="1" applyFill="1" applyBorder="1" applyAlignment="1" applyProtection="1">
      <alignment wrapText="1"/>
    </xf>
    <xf numFmtId="165" fontId="106" fillId="52" borderId="0" xfId="0" applyNumberFormat="1" applyFont="1" applyFill="1"/>
    <xf numFmtId="0" fontId="144" fillId="45" borderId="10" xfId="40" applyFont="1" applyFill="1" applyBorder="1" applyAlignment="1" applyProtection="1">
      <alignment wrapText="1"/>
    </xf>
    <xf numFmtId="0" fontId="144" fillId="52" borderId="0" xfId="0" applyFont="1" applyFill="1"/>
    <xf numFmtId="165" fontId="144" fillId="52" borderId="10" xfId="40" applyNumberFormat="1" applyFont="1" applyFill="1" applyBorder="1" applyAlignment="1" applyProtection="1">
      <alignment wrapText="1"/>
    </xf>
    <xf numFmtId="0" fontId="144" fillId="45" borderId="10" xfId="40" applyFont="1" applyFill="1" applyBorder="1" applyAlignment="1" applyProtection="1">
      <alignment horizontal="left" wrapText="1"/>
    </xf>
    <xf numFmtId="0" fontId="70" fillId="51" borderId="0" xfId="0" applyFont="1" applyFill="1" applyBorder="1" applyAlignment="1"/>
    <xf numFmtId="2" fontId="77" fillId="47" borderId="32" xfId="0" applyNumberFormat="1" applyFont="1" applyFill="1" applyBorder="1"/>
    <xf numFmtId="165" fontId="179" fillId="47" borderId="11" xfId="0" applyNumberFormat="1" applyFont="1" applyFill="1" applyBorder="1"/>
    <xf numFmtId="0" fontId="83" fillId="51" borderId="0" xfId="0" applyFont="1" applyFill="1" applyBorder="1" applyAlignment="1"/>
    <xf numFmtId="49" fontId="165" fillId="51" borderId="0" xfId="0" applyNumberFormat="1" applyFont="1" applyFill="1" applyAlignment="1">
      <alignment horizontal="left"/>
    </xf>
    <xf numFmtId="0" fontId="165" fillId="51" borderId="0" xfId="0" applyFont="1" applyFill="1" applyBorder="1" applyAlignment="1"/>
    <xf numFmtId="0" fontId="181" fillId="51" borderId="0" xfId="0" applyFont="1" applyFill="1" applyBorder="1"/>
    <xf numFmtId="2" fontId="168" fillId="51" borderId="0" xfId="0" applyNumberFormat="1" applyFont="1" applyFill="1" applyBorder="1"/>
    <xf numFmtId="0" fontId="165" fillId="51" borderId="0" xfId="0" applyFont="1" applyFill="1" applyBorder="1"/>
    <xf numFmtId="0" fontId="172" fillId="50" borderId="0" xfId="0" applyFont="1" applyFill="1" applyBorder="1" applyAlignment="1" applyProtection="1">
      <alignment horizontal="center" vertical="center" wrapText="1"/>
    </xf>
    <xf numFmtId="0" fontId="157" fillId="49" borderId="26" xfId="0" applyFont="1" applyFill="1" applyBorder="1" applyAlignment="1">
      <alignment horizontal="center"/>
    </xf>
    <xf numFmtId="0" fontId="157" fillId="49" borderId="41" xfId="0" applyFont="1" applyFill="1" applyBorder="1" applyAlignment="1">
      <alignment horizontal="center"/>
    </xf>
    <xf numFmtId="0" fontId="158" fillId="49" borderId="26" xfId="0" applyFont="1" applyFill="1" applyBorder="1" applyAlignment="1" applyProtection="1">
      <alignment horizontal="center"/>
    </xf>
    <xf numFmtId="0" fontId="158" fillId="49" borderId="41" xfId="0" applyFont="1" applyFill="1" applyBorder="1" applyAlignment="1" applyProtection="1">
      <alignment horizontal="center"/>
    </xf>
    <xf numFmtId="0" fontId="157" fillId="49" borderId="41" xfId="34" applyFont="1" applyFill="1" applyBorder="1" applyAlignment="1" applyProtection="1">
      <alignment horizontal="left"/>
    </xf>
    <xf numFmtId="0" fontId="157" fillId="49" borderId="22" xfId="34" applyFont="1" applyFill="1" applyBorder="1" applyAlignment="1" applyProtection="1">
      <alignment horizontal="left"/>
    </xf>
    <xf numFmtId="0" fontId="80" fillId="50" borderId="0" xfId="0" applyFont="1" applyFill="1" applyBorder="1" applyAlignment="1" applyProtection="1">
      <alignment horizontal="left" vertical="center"/>
    </xf>
    <xf numFmtId="0" fontId="174" fillId="50" borderId="0" xfId="0" applyFont="1" applyFill="1" applyBorder="1" applyAlignment="1" applyProtection="1">
      <alignment horizontal="center" vertical="center" wrapText="1"/>
    </xf>
    <xf numFmtId="0" fontId="83" fillId="46" borderId="67" xfId="0" applyFont="1" applyFill="1" applyBorder="1" applyAlignment="1" applyProtection="1">
      <alignment horizontal="left" vertical="center" wrapText="1"/>
    </xf>
    <xf numFmtId="0" fontId="83" fillId="46" borderId="68" xfId="0" applyFont="1" applyFill="1" applyBorder="1" applyAlignment="1" applyProtection="1">
      <alignment horizontal="left" vertical="center" wrapText="1"/>
    </xf>
    <xf numFmtId="0" fontId="83" fillId="46" borderId="69" xfId="0" applyFont="1" applyFill="1" applyBorder="1" applyAlignment="1" applyProtection="1">
      <alignment horizontal="left" vertical="center" wrapText="1"/>
    </xf>
    <xf numFmtId="0" fontId="83" fillId="46" borderId="71" xfId="0" applyFont="1" applyFill="1" applyBorder="1" applyAlignment="1" applyProtection="1">
      <alignment horizontal="left" vertical="center" wrapText="1"/>
    </xf>
    <xf numFmtId="0" fontId="83" fillId="46" borderId="0" xfId="0" applyFont="1" applyFill="1" applyBorder="1" applyAlignment="1" applyProtection="1">
      <alignment horizontal="left" vertical="center" wrapText="1"/>
    </xf>
    <xf numFmtId="0" fontId="83" fillId="46" borderId="72" xfId="0" applyFont="1" applyFill="1" applyBorder="1" applyAlignment="1" applyProtection="1">
      <alignment horizontal="left" vertical="center" wrapText="1"/>
    </xf>
    <xf numFmtId="0" fontId="83" fillId="46" borderId="70" xfId="0" applyFont="1" applyFill="1" applyBorder="1" applyAlignment="1" applyProtection="1">
      <alignment horizontal="left" vertical="center" wrapText="1"/>
    </xf>
    <xf numFmtId="0" fontId="83" fillId="46" borderId="73" xfId="0" applyFont="1" applyFill="1" applyBorder="1" applyAlignment="1" applyProtection="1">
      <alignment horizontal="left" vertical="center" wrapText="1"/>
    </xf>
    <xf numFmtId="0" fontId="83" fillId="46" borderId="74" xfId="0" applyFont="1" applyFill="1" applyBorder="1" applyAlignment="1" applyProtection="1">
      <alignment horizontal="left" vertical="center" wrapText="1"/>
    </xf>
    <xf numFmtId="0" fontId="153" fillId="49" borderId="59" xfId="0" applyFont="1" applyFill="1" applyBorder="1" applyAlignment="1" applyProtection="1">
      <alignment horizontal="left" vertical="top" wrapText="1"/>
    </xf>
    <xf numFmtId="0" fontId="131" fillId="49" borderId="60" xfId="0" applyFont="1" applyFill="1" applyBorder="1" applyAlignment="1" applyProtection="1">
      <alignment horizontal="left" vertical="top" wrapText="1"/>
    </xf>
    <xf numFmtId="0" fontId="131" fillId="49" borderId="61" xfId="0" applyFont="1" applyFill="1" applyBorder="1" applyAlignment="1" applyProtection="1">
      <alignment horizontal="left" vertical="top" wrapText="1"/>
    </xf>
    <xf numFmtId="0" fontId="157" fillId="49" borderId="26" xfId="34" applyFont="1" applyFill="1" applyBorder="1" applyAlignment="1" applyProtection="1">
      <alignment horizontal="left"/>
    </xf>
    <xf numFmtId="0" fontId="146" fillId="50" borderId="0" xfId="0" applyFont="1" applyFill="1" applyBorder="1" applyAlignment="1" applyProtection="1">
      <alignment horizontal="left" vertical="center" wrapText="1"/>
    </xf>
    <xf numFmtId="0" fontId="146" fillId="50" borderId="42" xfId="0" applyFont="1" applyFill="1" applyBorder="1" applyAlignment="1" applyProtection="1">
      <alignment horizontal="left" vertical="center" wrapText="1"/>
    </xf>
    <xf numFmtId="0" fontId="105" fillId="50" borderId="0" xfId="0" applyFont="1" applyFill="1" applyBorder="1" applyAlignment="1" applyProtection="1">
      <alignment horizontal="left" vertical="center" wrapText="1"/>
    </xf>
    <xf numFmtId="0" fontId="76" fillId="50" borderId="0" xfId="0" applyFont="1" applyFill="1" applyBorder="1" applyAlignment="1" applyProtection="1">
      <alignment horizontal="left" vertical="center" wrapText="1"/>
    </xf>
    <xf numFmtId="49" fontId="106" fillId="0" borderId="26" xfId="0" applyNumberFormat="1" applyFont="1" applyFill="1" applyBorder="1" applyAlignment="1" applyProtection="1">
      <alignment horizontal="center"/>
    </xf>
    <xf numFmtId="49" fontId="106" fillId="0" borderId="41" xfId="0" applyNumberFormat="1" applyFont="1" applyFill="1" applyBorder="1" applyAlignment="1" applyProtection="1">
      <alignment horizontal="center"/>
    </xf>
    <xf numFmtId="49" fontId="106" fillId="0" borderId="22" xfId="0" applyNumberFormat="1" applyFont="1" applyFill="1" applyBorder="1" applyAlignment="1" applyProtection="1">
      <alignment horizontal="center"/>
    </xf>
    <xf numFmtId="0" fontId="160" fillId="50" borderId="0" xfId="0" applyFont="1" applyFill="1" applyAlignment="1" applyProtection="1">
      <alignment horizontal="left" vertical="center" wrapText="1"/>
    </xf>
    <xf numFmtId="0" fontId="160" fillId="50" borderId="0" xfId="0" applyFont="1" applyFill="1" applyAlignment="1" applyProtection="1">
      <alignment horizontal="left" vertical="center"/>
    </xf>
    <xf numFmtId="0" fontId="113" fillId="50" borderId="0" xfId="0" applyFont="1" applyFill="1" applyBorder="1" applyAlignment="1" applyProtection="1">
      <alignment horizontal="left" vertical="center" wrapText="1"/>
    </xf>
    <xf numFmtId="0" fontId="146" fillId="50" borderId="0" xfId="0" applyFont="1" applyFill="1" applyAlignment="1" applyProtection="1">
      <alignment horizontal="left"/>
    </xf>
    <xf numFmtId="0" fontId="146" fillId="50" borderId="42" xfId="0" applyFont="1" applyFill="1" applyBorder="1" applyAlignment="1" applyProtection="1">
      <alignment horizontal="left"/>
    </xf>
    <xf numFmtId="49" fontId="70" fillId="47" borderId="26" xfId="0" applyNumberFormat="1" applyFont="1" applyFill="1" applyBorder="1" applyAlignment="1" applyProtection="1">
      <alignment horizontal="center" vertical="center" wrapText="1"/>
      <protection locked="0"/>
    </xf>
    <xf numFmtId="49" fontId="70" fillId="47" borderId="41" xfId="0" applyNumberFormat="1" applyFont="1" applyFill="1" applyBorder="1" applyAlignment="1" applyProtection="1">
      <alignment horizontal="center" vertical="center" wrapText="1"/>
      <protection locked="0"/>
    </xf>
    <xf numFmtId="49" fontId="70" fillId="47" borderId="22" xfId="0" applyNumberFormat="1" applyFont="1" applyFill="1" applyBorder="1" applyAlignment="1" applyProtection="1">
      <alignment horizontal="center" vertical="center" wrapText="1"/>
      <protection locked="0"/>
    </xf>
    <xf numFmtId="0" fontId="70" fillId="47" borderId="26" xfId="0" applyFont="1" applyFill="1" applyBorder="1" applyAlignment="1" applyProtection="1">
      <alignment horizontal="center"/>
      <protection locked="0"/>
    </xf>
    <xf numFmtId="0" fontId="70" fillId="47" borderId="41" xfId="0" applyFont="1" applyFill="1" applyBorder="1" applyAlignment="1" applyProtection="1">
      <alignment horizontal="center"/>
      <protection locked="0"/>
    </xf>
    <xf numFmtId="0" fontId="70" fillId="47" borderId="22" xfId="0" applyFont="1" applyFill="1" applyBorder="1" applyAlignment="1" applyProtection="1">
      <alignment horizontal="center"/>
      <protection locked="0"/>
    </xf>
    <xf numFmtId="0" fontId="105" fillId="50" borderId="42" xfId="0" applyFont="1" applyFill="1" applyBorder="1" applyAlignment="1" applyProtection="1">
      <alignment horizontal="left" vertical="center" wrapText="1"/>
    </xf>
    <xf numFmtId="0" fontId="144" fillId="49" borderId="0" xfId="0" applyFont="1" applyFill="1" applyAlignment="1" applyProtection="1">
      <alignment horizontal="left" vertical="center" wrapText="1"/>
    </xf>
    <xf numFmtId="0" fontId="76" fillId="50" borderId="26" xfId="0" applyFont="1" applyFill="1" applyBorder="1" applyAlignment="1" applyProtection="1">
      <alignment vertical="center" wrapText="1"/>
    </xf>
    <xf numFmtId="0" fontId="105" fillId="50" borderId="41" xfId="0" applyFont="1" applyFill="1" applyBorder="1" applyAlignment="1" applyProtection="1">
      <alignment vertical="center" wrapText="1"/>
    </xf>
    <xf numFmtId="0" fontId="105" fillId="50" borderId="22" xfId="0" applyFont="1" applyFill="1" applyBorder="1" applyAlignment="1" applyProtection="1">
      <alignment vertical="center" wrapText="1"/>
    </xf>
    <xf numFmtId="0" fontId="70" fillId="47" borderId="26" xfId="0" applyFont="1" applyFill="1" applyBorder="1" applyAlignment="1" applyProtection="1">
      <alignment horizontal="center" vertical="center" wrapText="1"/>
      <protection locked="0"/>
    </xf>
    <xf numFmtId="0" fontId="70" fillId="47" borderId="22" xfId="0" applyFont="1" applyFill="1" applyBorder="1" applyAlignment="1" applyProtection="1">
      <alignment horizontal="center" vertical="center" wrapText="1"/>
      <protection locked="0"/>
    </xf>
    <xf numFmtId="49" fontId="70" fillId="49" borderId="0" xfId="0" applyNumberFormat="1" applyFont="1" applyFill="1" applyBorder="1" applyAlignment="1" applyProtection="1">
      <alignment horizontal="center"/>
      <protection locked="0"/>
    </xf>
    <xf numFmtId="0" fontId="163" fillId="49" borderId="0" xfId="0" applyFont="1" applyFill="1" applyAlignment="1" applyProtection="1">
      <alignment horizontal="justify" vertical="center" wrapText="1"/>
    </xf>
    <xf numFmtId="0" fontId="164" fillId="49" borderId="68" xfId="0" applyFont="1" applyFill="1" applyBorder="1" applyAlignment="1" applyProtection="1">
      <alignment horizontal="justify" vertical="center" wrapText="1"/>
    </xf>
    <xf numFmtId="0" fontId="164" fillId="49" borderId="69" xfId="0" applyFont="1" applyFill="1" applyBorder="1" applyAlignment="1" applyProtection="1">
      <alignment horizontal="justify" vertical="center" wrapText="1"/>
    </xf>
    <xf numFmtId="0" fontId="164" fillId="49" borderId="0" xfId="0" applyFont="1" applyFill="1" applyBorder="1" applyAlignment="1" applyProtection="1">
      <alignment horizontal="justify" vertical="center" wrapText="1"/>
    </xf>
    <xf numFmtId="0" fontId="164" fillId="49" borderId="72" xfId="0" applyFont="1" applyFill="1" applyBorder="1" applyAlignment="1" applyProtection="1">
      <alignment horizontal="justify" vertical="center" wrapText="1"/>
    </xf>
    <xf numFmtId="0" fontId="155" fillId="49" borderId="0" xfId="0" applyFont="1" applyFill="1" applyBorder="1" applyAlignment="1" applyProtection="1">
      <alignment horizontal="left"/>
    </xf>
    <xf numFmtId="0" fontId="155" fillId="49" borderId="42" xfId="0" applyFont="1" applyFill="1" applyBorder="1" applyAlignment="1" applyProtection="1">
      <alignment horizontal="left"/>
    </xf>
    <xf numFmtId="1" fontId="106" fillId="0" borderId="26" xfId="0" applyNumberFormat="1" applyFont="1" applyFill="1" applyBorder="1" applyAlignment="1" applyProtection="1">
      <alignment horizontal="center"/>
      <protection locked="0"/>
    </xf>
    <xf numFmtId="1" fontId="106" fillId="0" borderId="22" xfId="0" applyNumberFormat="1" applyFont="1" applyFill="1" applyBorder="1" applyAlignment="1" applyProtection="1">
      <alignment horizontal="center"/>
      <protection locked="0"/>
    </xf>
    <xf numFmtId="0" fontId="100" fillId="50" borderId="26" xfId="0" applyFont="1" applyFill="1" applyBorder="1" applyAlignment="1" applyProtection="1">
      <alignment horizontal="left" vertical="center" wrapText="1"/>
    </xf>
    <xf numFmtId="0" fontId="100" fillId="50" borderId="41" xfId="0" applyFont="1" applyFill="1" applyBorder="1" applyAlignment="1" applyProtection="1">
      <alignment horizontal="left" vertical="center" wrapText="1"/>
    </xf>
    <xf numFmtId="0" fontId="100" fillId="50" borderId="22" xfId="0" applyFont="1" applyFill="1" applyBorder="1" applyAlignment="1" applyProtection="1">
      <alignment horizontal="left" vertical="center" wrapText="1"/>
    </xf>
    <xf numFmtId="49" fontId="81" fillId="0" borderId="26" xfId="0" applyNumberFormat="1" applyFont="1" applyFill="1" applyBorder="1" applyAlignment="1" applyProtection="1">
      <alignment horizontal="center"/>
    </xf>
    <xf numFmtId="0" fontId="70" fillId="49" borderId="67" xfId="0" applyFont="1" applyFill="1" applyBorder="1" applyAlignment="1" applyProtection="1">
      <alignment horizontal="left" vertical="center" wrapText="1"/>
    </xf>
    <xf numFmtId="0" fontId="70" fillId="49" borderId="68" xfId="0" applyFont="1" applyFill="1" applyBorder="1" applyAlignment="1" applyProtection="1">
      <alignment horizontal="left" vertical="center" wrapText="1"/>
    </xf>
    <xf numFmtId="0" fontId="70" fillId="49" borderId="69" xfId="0" applyFont="1" applyFill="1" applyBorder="1" applyAlignment="1" applyProtection="1">
      <alignment horizontal="left" vertical="center" wrapText="1"/>
    </xf>
    <xf numFmtId="0" fontId="70" fillId="49" borderId="71" xfId="0" applyFont="1" applyFill="1" applyBorder="1" applyAlignment="1" applyProtection="1">
      <alignment horizontal="left" vertical="center" wrapText="1"/>
    </xf>
    <xf numFmtId="0" fontId="70" fillId="49" borderId="0" xfId="0" applyFont="1" applyFill="1" applyBorder="1" applyAlignment="1" applyProtection="1">
      <alignment horizontal="left" vertical="center" wrapText="1"/>
    </xf>
    <xf numFmtId="0" fontId="70" fillId="49" borderId="72" xfId="0" applyFont="1" applyFill="1" applyBorder="1" applyAlignment="1" applyProtection="1">
      <alignment horizontal="left" vertical="center" wrapText="1"/>
    </xf>
    <xf numFmtId="0" fontId="70" fillId="49" borderId="70" xfId="0" applyFont="1" applyFill="1" applyBorder="1" applyAlignment="1" applyProtection="1">
      <alignment horizontal="left" vertical="center" wrapText="1"/>
    </xf>
    <xf numFmtId="0" fontId="70" fillId="49" borderId="73" xfId="0" applyFont="1" applyFill="1" applyBorder="1" applyAlignment="1" applyProtection="1">
      <alignment horizontal="left" vertical="center" wrapText="1"/>
    </xf>
    <xf numFmtId="0" fontId="70" fillId="49" borderId="74" xfId="0" applyFont="1" applyFill="1" applyBorder="1" applyAlignment="1" applyProtection="1">
      <alignment horizontal="left" vertical="center" wrapText="1"/>
    </xf>
    <xf numFmtId="0" fontId="164" fillId="49" borderId="73" xfId="0" applyFont="1" applyFill="1" applyBorder="1" applyAlignment="1" applyProtection="1">
      <alignment horizontal="justify" vertical="center"/>
    </xf>
    <xf numFmtId="0" fontId="164" fillId="49" borderId="74" xfId="0" applyFont="1" applyFill="1" applyBorder="1" applyAlignment="1" applyProtection="1">
      <alignment horizontal="justify" vertical="center"/>
    </xf>
    <xf numFmtId="0" fontId="134" fillId="49" borderId="67" xfId="0" applyFont="1" applyFill="1" applyBorder="1" applyAlignment="1" applyProtection="1">
      <alignment horizontal="right" vertical="center" wrapText="1"/>
    </xf>
    <xf numFmtId="0" fontId="134" fillId="49" borderId="71" xfId="0" applyFont="1" applyFill="1" applyBorder="1" applyAlignment="1" applyProtection="1">
      <alignment horizontal="right" vertical="center"/>
    </xf>
    <xf numFmtId="0" fontId="134" fillId="49" borderId="71" xfId="0" applyFont="1" applyFill="1" applyBorder="1" applyAlignment="1" applyProtection="1">
      <alignment horizontal="right" vertical="top"/>
    </xf>
    <xf numFmtId="0" fontId="164" fillId="49" borderId="0" xfId="0" applyFont="1" applyFill="1" applyBorder="1" applyAlignment="1" applyProtection="1">
      <alignment horizontal="justify" vertical="center"/>
    </xf>
    <xf numFmtId="0" fontId="164" fillId="49" borderId="72" xfId="0" applyFont="1" applyFill="1" applyBorder="1" applyAlignment="1" applyProtection="1">
      <alignment horizontal="justify" vertical="center"/>
    </xf>
    <xf numFmtId="0" fontId="106" fillId="34" borderId="10" xfId="0" applyFont="1" applyFill="1" applyBorder="1" applyAlignment="1">
      <alignment horizontal="center"/>
    </xf>
    <xf numFmtId="0" fontId="107" fillId="50" borderId="18" xfId="0" applyFont="1" applyFill="1" applyBorder="1" applyAlignment="1" applyProtection="1">
      <alignment horizontal="center" vertical="center" wrapText="1"/>
    </xf>
    <xf numFmtId="0" fontId="107" fillId="50" borderId="28" xfId="0" applyFont="1" applyFill="1" applyBorder="1" applyAlignment="1" applyProtection="1">
      <alignment horizontal="center" vertical="center" wrapText="1"/>
    </xf>
    <xf numFmtId="0" fontId="107" fillId="50" borderId="44" xfId="0" applyFont="1" applyFill="1" applyBorder="1" applyAlignment="1">
      <alignment horizontal="center" vertical="center"/>
    </xf>
    <xf numFmtId="0" fontId="107" fillId="50" borderId="24" xfId="0" applyFont="1" applyFill="1" applyBorder="1" applyAlignment="1">
      <alignment horizontal="center" vertical="center"/>
    </xf>
    <xf numFmtId="0" fontId="83" fillId="46" borderId="67" xfId="0" applyNumberFormat="1" applyFont="1" applyFill="1" applyBorder="1" applyAlignment="1" applyProtection="1">
      <alignment horizontal="justify" vertical="center" wrapText="1"/>
    </xf>
    <xf numFmtId="0" fontId="83" fillId="46" borderId="68" xfId="0" applyNumberFormat="1" applyFont="1" applyFill="1" applyBorder="1" applyAlignment="1" applyProtection="1">
      <alignment horizontal="justify" vertical="center" wrapText="1"/>
    </xf>
    <xf numFmtId="0" fontId="83" fillId="46" borderId="69" xfId="0" applyNumberFormat="1" applyFont="1" applyFill="1" applyBorder="1" applyAlignment="1" applyProtection="1">
      <alignment horizontal="justify" vertical="center" wrapText="1"/>
    </xf>
    <xf numFmtId="0" fontId="83" fillId="46" borderId="71" xfId="0" applyNumberFormat="1" applyFont="1" applyFill="1" applyBorder="1" applyAlignment="1" applyProtection="1">
      <alignment horizontal="justify" vertical="center" wrapText="1"/>
    </xf>
    <xf numFmtId="0" fontId="83" fillId="46" borderId="0" xfId="0" applyNumberFormat="1" applyFont="1" applyFill="1" applyBorder="1" applyAlignment="1" applyProtection="1">
      <alignment horizontal="justify" vertical="center" wrapText="1"/>
    </xf>
    <xf numFmtId="0" fontId="83" fillId="46" borderId="72" xfId="0" applyNumberFormat="1" applyFont="1" applyFill="1" applyBorder="1" applyAlignment="1" applyProtection="1">
      <alignment horizontal="justify" vertical="center" wrapText="1"/>
    </xf>
    <xf numFmtId="0" fontId="83" fillId="46" borderId="70" xfId="0" applyNumberFormat="1" applyFont="1" applyFill="1" applyBorder="1" applyAlignment="1" applyProtection="1">
      <alignment horizontal="justify" vertical="center" wrapText="1"/>
    </xf>
    <xf numFmtId="0" fontId="83" fillId="46" borderId="73" xfId="0" applyNumberFormat="1" applyFont="1" applyFill="1" applyBorder="1" applyAlignment="1" applyProtection="1">
      <alignment horizontal="justify" vertical="center" wrapText="1"/>
    </xf>
    <xf numFmtId="0" fontId="83" fillId="46" borderId="74" xfId="0" applyNumberFormat="1" applyFont="1" applyFill="1" applyBorder="1" applyAlignment="1" applyProtection="1">
      <alignment horizontal="justify" vertical="center" wrapText="1"/>
    </xf>
    <xf numFmtId="0" fontId="81" fillId="34" borderId="10" xfId="0" applyFont="1" applyFill="1" applyBorder="1" applyAlignment="1">
      <alignment horizontal="center"/>
    </xf>
    <xf numFmtId="4" fontId="105" fillId="43" borderId="44" xfId="0" applyNumberFormat="1" applyFont="1" applyFill="1" applyBorder="1" applyAlignment="1" applyProtection="1">
      <alignment horizontal="right" vertical="center" wrapText="1"/>
    </xf>
    <xf numFmtId="4" fontId="105" fillId="43" borderId="45" xfId="0" applyNumberFormat="1" applyFont="1" applyFill="1" applyBorder="1" applyAlignment="1" applyProtection="1">
      <alignment horizontal="right" vertical="center" wrapText="1"/>
    </xf>
    <xf numFmtId="0" fontId="162" fillId="46" borderId="75" xfId="0" applyFont="1" applyFill="1" applyBorder="1" applyAlignment="1">
      <alignment horizontal="center" vertical="center"/>
    </xf>
    <xf numFmtId="0" fontId="162" fillId="46" borderId="76" xfId="0" applyFont="1" applyFill="1" applyBorder="1" applyAlignment="1">
      <alignment horizontal="center" vertical="center"/>
    </xf>
    <xf numFmtId="0" fontId="100" fillId="50" borderId="0" xfId="0" applyFont="1" applyFill="1" applyBorder="1" applyAlignment="1" applyProtection="1">
      <alignment horizontal="left" vertical="center" wrapText="1"/>
    </xf>
    <xf numFmtId="0" fontId="114" fillId="50" borderId="0" xfId="0" applyFont="1" applyFill="1" applyBorder="1" applyAlignment="1" applyProtection="1">
      <alignment horizontal="left" vertical="center" wrapText="1"/>
    </xf>
    <xf numFmtId="0" fontId="114" fillId="43" borderId="44" xfId="0" applyFont="1" applyFill="1" applyBorder="1" applyAlignment="1" applyProtection="1">
      <alignment horizontal="center" vertical="center" wrapText="1"/>
    </xf>
    <xf numFmtId="0" fontId="114" fillId="43" borderId="45" xfId="0" applyFont="1" applyFill="1" applyBorder="1" applyAlignment="1" applyProtection="1">
      <alignment horizontal="center" vertical="center" wrapText="1"/>
    </xf>
    <xf numFmtId="0" fontId="114" fillId="43" borderId="24" xfId="0" applyFont="1" applyFill="1" applyBorder="1" applyAlignment="1" applyProtection="1">
      <alignment horizontal="center" vertical="center" wrapText="1"/>
    </xf>
    <xf numFmtId="0" fontId="107" fillId="50" borderId="28" xfId="0" applyFont="1" applyFill="1" applyBorder="1" applyAlignment="1" applyProtection="1">
      <alignment horizontal="left" vertical="center" wrapText="1"/>
    </xf>
    <xf numFmtId="0" fontId="107" fillId="50" borderId="31" xfId="0" applyFont="1" applyFill="1" applyBorder="1" applyAlignment="1" applyProtection="1">
      <alignment horizontal="left" vertical="center" wrapText="1"/>
    </xf>
    <xf numFmtId="4" fontId="162" fillId="46" borderId="76" xfId="0" applyNumberFormat="1" applyFont="1" applyFill="1" applyBorder="1" applyAlignment="1">
      <alignment horizontal="center"/>
    </xf>
    <xf numFmtId="0" fontId="160" fillId="50" borderId="0" xfId="0" applyFont="1" applyFill="1" applyAlignment="1" applyProtection="1">
      <alignment horizontal="center" vertical="center" wrapText="1"/>
    </xf>
    <xf numFmtId="0" fontId="81" fillId="46" borderId="67" xfId="0" applyFont="1" applyFill="1" applyBorder="1" applyAlignment="1" applyProtection="1">
      <alignment horizontal="left" vertical="center" wrapText="1"/>
    </xf>
    <xf numFmtId="0" fontId="106" fillId="46" borderId="68" xfId="0" applyFont="1" applyFill="1" applyBorder="1" applyAlignment="1" applyProtection="1">
      <alignment horizontal="left" vertical="center" wrapText="1"/>
    </xf>
    <xf numFmtId="0" fontId="106" fillId="46" borderId="69" xfId="0" applyFont="1" applyFill="1" applyBorder="1" applyAlignment="1" applyProtection="1">
      <alignment horizontal="left" vertical="center" wrapText="1"/>
    </xf>
    <xf numFmtId="0" fontId="106" fillId="46" borderId="71" xfId="0" applyFont="1" applyFill="1" applyBorder="1" applyAlignment="1" applyProtection="1">
      <alignment horizontal="left" vertical="center" wrapText="1"/>
    </xf>
    <xf numFmtId="0" fontId="106" fillId="46" borderId="0" xfId="0" applyFont="1" applyFill="1" applyBorder="1" applyAlignment="1" applyProtection="1">
      <alignment horizontal="left" vertical="center" wrapText="1"/>
    </xf>
    <xf numFmtId="0" fontId="106" fillId="46" borderId="72" xfId="0" applyFont="1" applyFill="1" applyBorder="1" applyAlignment="1" applyProtection="1">
      <alignment horizontal="left" vertical="center" wrapText="1"/>
    </xf>
    <xf numFmtId="0" fontId="106" fillId="46" borderId="70" xfId="0" applyFont="1" applyFill="1" applyBorder="1" applyAlignment="1" applyProtection="1">
      <alignment horizontal="left" vertical="center" wrapText="1"/>
    </xf>
    <xf numFmtId="0" fontId="106" fillId="46" borderId="73" xfId="0" applyFont="1" applyFill="1" applyBorder="1" applyAlignment="1" applyProtection="1">
      <alignment horizontal="left" vertical="center" wrapText="1"/>
    </xf>
    <xf numFmtId="0" fontId="106" fillId="46" borderId="74" xfId="0" applyFont="1" applyFill="1" applyBorder="1" applyAlignment="1" applyProtection="1">
      <alignment horizontal="left" vertical="center" wrapText="1"/>
    </xf>
    <xf numFmtId="0" fontId="70" fillId="44" borderId="12" xfId="0" applyFont="1" applyFill="1" applyBorder="1" applyAlignment="1" applyProtection="1">
      <alignment horizontal="center" vertical="center"/>
    </xf>
    <xf numFmtId="0" fontId="70" fillId="44" borderId="40" xfId="0" applyFont="1" applyFill="1" applyBorder="1" applyAlignment="1" applyProtection="1">
      <alignment horizontal="center" vertical="center"/>
    </xf>
    <xf numFmtId="0" fontId="70" fillId="44" borderId="15" xfId="0" applyFont="1" applyFill="1" applyBorder="1" applyAlignment="1" applyProtection="1">
      <alignment horizontal="center" vertical="center"/>
    </xf>
    <xf numFmtId="0" fontId="77" fillId="51" borderId="68" xfId="0" applyFont="1" applyFill="1" applyBorder="1" applyAlignment="1" applyProtection="1">
      <alignment horizontal="left" wrapText="1"/>
    </xf>
    <xf numFmtId="0" fontId="77" fillId="51" borderId="69" xfId="0" applyFont="1" applyFill="1" applyBorder="1" applyAlignment="1" applyProtection="1">
      <alignment horizontal="left" wrapText="1"/>
    </xf>
    <xf numFmtId="4" fontId="108" fillId="0" borderId="21" xfId="0" applyNumberFormat="1" applyFont="1" applyFill="1" applyBorder="1" applyAlignment="1">
      <alignment horizontal="right"/>
    </xf>
    <xf numFmtId="4" fontId="108" fillId="0" borderId="43" xfId="0" applyNumberFormat="1" applyFont="1" applyFill="1" applyBorder="1" applyAlignment="1">
      <alignment horizontal="right"/>
    </xf>
    <xf numFmtId="0" fontId="77" fillId="51" borderId="0" xfId="0" applyFont="1" applyFill="1" applyBorder="1" applyAlignment="1" applyProtection="1">
      <alignment horizontal="left" vertical="top" wrapText="1"/>
    </xf>
    <xf numFmtId="0" fontId="77" fillId="51" borderId="72" xfId="0" applyFont="1" applyFill="1" applyBorder="1" applyAlignment="1" applyProtection="1">
      <alignment horizontal="left" vertical="top" wrapText="1"/>
    </xf>
    <xf numFmtId="0" fontId="77" fillId="51" borderId="0" xfId="0" applyFont="1" applyFill="1" applyBorder="1" applyAlignment="1" applyProtection="1">
      <alignment horizontal="center" vertical="top" wrapText="1"/>
    </xf>
    <xf numFmtId="0" fontId="77" fillId="51" borderId="72" xfId="0" applyFont="1" applyFill="1" applyBorder="1" applyAlignment="1" applyProtection="1">
      <alignment horizontal="center" vertical="top" wrapText="1"/>
    </xf>
    <xf numFmtId="0" fontId="77" fillId="51" borderId="0" xfId="0" applyFont="1" applyFill="1" applyBorder="1" applyAlignment="1" applyProtection="1">
      <alignment horizontal="left" vertical="center" wrapText="1"/>
    </xf>
    <xf numFmtId="0" fontId="77" fillId="51" borderId="72" xfId="0" applyFont="1" applyFill="1" applyBorder="1" applyAlignment="1" applyProtection="1">
      <alignment horizontal="left" vertical="center" wrapText="1"/>
    </xf>
    <xf numFmtId="0" fontId="77" fillId="51" borderId="73" xfId="0" applyFont="1" applyFill="1" applyBorder="1" applyAlignment="1" applyProtection="1">
      <alignment horizontal="left" vertical="center" wrapText="1"/>
    </xf>
    <xf numFmtId="0" fontId="77" fillId="51" borderId="74" xfId="0" applyFont="1" applyFill="1" applyBorder="1" applyAlignment="1" applyProtection="1">
      <alignment horizontal="left" vertical="center" wrapText="1"/>
    </xf>
    <xf numFmtId="0" fontId="111" fillId="51" borderId="0" xfId="0" applyFont="1" applyFill="1" applyBorder="1" applyAlignment="1">
      <alignment horizontal="right" vertical="top" wrapText="1"/>
    </xf>
    <xf numFmtId="0" fontId="105" fillId="50" borderId="0" xfId="0" applyFont="1" applyFill="1" applyBorder="1" applyAlignment="1" applyProtection="1">
      <alignment horizontal="center" vertical="center" wrapText="1"/>
    </xf>
    <xf numFmtId="0" fontId="105" fillId="50" borderId="42" xfId="0" applyFont="1" applyFill="1" applyBorder="1" applyAlignment="1" applyProtection="1">
      <alignment horizontal="center" vertical="center" wrapText="1"/>
    </xf>
    <xf numFmtId="0" fontId="107" fillId="50" borderId="28" xfId="0" applyFont="1" applyFill="1" applyBorder="1" applyAlignment="1">
      <alignment horizontal="center" vertical="center" wrapText="1"/>
    </xf>
    <xf numFmtId="0" fontId="107" fillId="50" borderId="18" xfId="0" applyFont="1" applyFill="1" applyBorder="1" applyAlignment="1">
      <alignment horizontal="center"/>
    </xf>
    <xf numFmtId="4" fontId="162" fillId="46" borderId="76" xfId="0" applyNumberFormat="1" applyFont="1" applyFill="1" applyBorder="1" applyAlignment="1">
      <alignment horizontal="center" vertical="center"/>
    </xf>
    <xf numFmtId="0" fontId="77" fillId="51" borderId="73" xfId="0" applyFont="1" applyFill="1" applyBorder="1" applyAlignment="1" applyProtection="1">
      <alignment horizontal="left" vertical="top" wrapText="1"/>
    </xf>
    <xf numFmtId="0" fontId="77" fillId="51" borderId="74" xfId="0" applyFont="1" applyFill="1" applyBorder="1" applyAlignment="1" applyProtection="1">
      <alignment horizontal="left" vertical="top" wrapText="1"/>
    </xf>
    <xf numFmtId="0" fontId="77" fillId="51" borderId="68" xfId="0" applyFont="1" applyFill="1" applyBorder="1" applyAlignment="1" applyProtection="1">
      <alignment horizontal="left" vertical="top" wrapText="1"/>
    </xf>
    <xf numFmtId="0" fontId="77" fillId="51" borderId="69" xfId="0" applyFont="1" applyFill="1" applyBorder="1" applyAlignment="1" applyProtection="1">
      <alignment horizontal="left" vertical="top" wrapText="1"/>
    </xf>
    <xf numFmtId="0" fontId="70" fillId="51" borderId="0" xfId="0" applyFont="1" applyFill="1" applyAlignment="1">
      <alignment horizontal="left" wrapText="1"/>
    </xf>
    <xf numFmtId="0" fontId="86" fillId="50" borderId="18" xfId="0" applyFont="1" applyFill="1" applyBorder="1" applyAlignment="1" applyProtection="1">
      <alignment horizontal="center" vertical="center" wrapText="1"/>
    </xf>
    <xf numFmtId="0" fontId="86" fillId="50" borderId="44" xfId="0" applyFont="1" applyFill="1" applyBorder="1" applyAlignment="1" applyProtection="1">
      <alignment horizontal="center" vertical="center" wrapText="1"/>
    </xf>
    <xf numFmtId="0" fontId="86" fillId="50" borderId="24" xfId="0" applyFont="1" applyFill="1" applyBorder="1" applyAlignment="1" applyProtection="1">
      <alignment horizontal="center" vertical="center" wrapText="1"/>
    </xf>
    <xf numFmtId="4" fontId="108" fillId="0" borderId="55" xfId="0" applyNumberFormat="1" applyFont="1" applyFill="1" applyBorder="1" applyAlignment="1" applyProtection="1">
      <alignment horizontal="center"/>
    </xf>
    <xf numFmtId="4" fontId="108" fillId="0" borderId="24" xfId="0" applyNumberFormat="1" applyFont="1" applyFill="1" applyBorder="1" applyAlignment="1" applyProtection="1">
      <alignment horizontal="center"/>
    </xf>
    <xf numFmtId="0" fontId="86" fillId="50" borderId="28" xfId="0" applyFont="1" applyFill="1" applyBorder="1" applyAlignment="1" applyProtection="1">
      <alignment horizontal="center" vertical="center" wrapText="1"/>
    </xf>
    <xf numFmtId="0" fontId="86" fillId="50" borderId="38" xfId="0" applyFont="1" applyFill="1" applyBorder="1" applyAlignment="1" applyProtection="1">
      <alignment horizontal="center" vertical="center" wrapText="1"/>
    </xf>
    <xf numFmtId="0" fontId="80" fillId="50" borderId="0" xfId="0" applyFont="1" applyFill="1" applyBorder="1" applyAlignment="1" applyProtection="1">
      <alignment horizontal="left" vertical="center" wrapText="1"/>
    </xf>
    <xf numFmtId="0" fontId="70" fillId="47" borderId="41" xfId="0" applyNumberFormat="1" applyFont="1" applyFill="1" applyBorder="1" applyAlignment="1" applyProtection="1">
      <alignment horizontal="center"/>
    </xf>
    <xf numFmtId="0" fontId="70" fillId="47" borderId="22" xfId="0" applyNumberFormat="1" applyFont="1" applyFill="1" applyBorder="1" applyAlignment="1" applyProtection="1">
      <alignment horizontal="center"/>
    </xf>
    <xf numFmtId="0" fontId="70" fillId="47" borderId="41" xfId="0" applyNumberFormat="1" applyFont="1" applyFill="1" applyBorder="1" applyAlignment="1" applyProtection="1">
      <alignment horizontal="center" vertical="center"/>
    </xf>
    <xf numFmtId="0" fontId="70" fillId="47" borderId="22" xfId="0" applyNumberFormat="1" applyFont="1" applyFill="1" applyBorder="1" applyAlignment="1" applyProtection="1">
      <alignment horizontal="center" vertical="center"/>
    </xf>
    <xf numFmtId="0" fontId="86" fillId="50" borderId="35" xfId="0" applyFont="1" applyFill="1" applyBorder="1" applyAlignment="1" applyProtection="1">
      <alignment horizontal="center" vertical="center" wrapText="1"/>
    </xf>
    <xf numFmtId="0" fontId="86" fillId="50" borderId="34" xfId="0" applyFont="1" applyFill="1" applyBorder="1" applyAlignment="1" applyProtection="1">
      <alignment horizontal="center" vertical="center" wrapText="1"/>
    </xf>
    <xf numFmtId="0" fontId="86" fillId="50" borderId="27" xfId="0" applyFont="1" applyFill="1" applyBorder="1" applyAlignment="1" applyProtection="1">
      <alignment horizontal="center" vertical="center" wrapText="1"/>
    </xf>
    <xf numFmtId="0" fontId="86" fillId="50" borderId="0" xfId="0" applyFont="1" applyFill="1" applyBorder="1" applyAlignment="1" applyProtection="1">
      <alignment horizontal="center" vertical="center" wrapText="1"/>
    </xf>
    <xf numFmtId="0" fontId="161" fillId="50" borderId="0" xfId="0" applyFont="1" applyFill="1" applyBorder="1" applyAlignment="1" applyProtection="1">
      <alignment horizontal="center" vertical="center" wrapText="1"/>
    </xf>
    <xf numFmtId="0" fontId="161" fillId="50" borderId="46" xfId="0" applyFont="1" applyFill="1" applyBorder="1" applyAlignment="1" applyProtection="1">
      <alignment horizontal="center" vertical="center" wrapText="1"/>
    </xf>
    <xf numFmtId="4" fontId="77" fillId="0" borderId="26" xfId="0" applyNumberFormat="1" applyFont="1" applyFill="1" applyBorder="1" applyAlignment="1" applyProtection="1">
      <alignment horizontal="right" vertical="center"/>
    </xf>
    <xf numFmtId="4" fontId="77" fillId="0" borderId="22" xfId="0" applyNumberFormat="1" applyFont="1" applyFill="1" applyBorder="1" applyAlignment="1" applyProtection="1">
      <alignment horizontal="right" vertical="center"/>
    </xf>
    <xf numFmtId="4" fontId="77" fillId="0" borderId="26" xfId="0" applyNumberFormat="1" applyFont="1" applyFill="1" applyBorder="1" applyAlignment="1" applyProtection="1">
      <alignment horizontal="right"/>
    </xf>
    <xf numFmtId="4" fontId="77" fillId="0" borderId="22" xfId="0" applyNumberFormat="1" applyFont="1" applyFill="1" applyBorder="1" applyAlignment="1" applyProtection="1">
      <alignment horizontal="right"/>
    </xf>
    <xf numFmtId="0" fontId="130" fillId="0" borderId="41" xfId="0" applyFont="1" applyFill="1" applyBorder="1" applyAlignment="1" applyProtection="1">
      <alignment horizontal="left"/>
    </xf>
    <xf numFmtId="0" fontId="130" fillId="0" borderId="22" xfId="0" applyFont="1" applyFill="1" applyBorder="1" applyAlignment="1" applyProtection="1">
      <alignment horizontal="left"/>
    </xf>
    <xf numFmtId="0" fontId="100" fillId="50" borderId="0" xfId="0" applyFont="1" applyFill="1" applyBorder="1" applyAlignment="1" applyProtection="1">
      <alignment horizontal="center" vertical="top" wrapText="1"/>
    </xf>
    <xf numFmtId="0" fontId="70" fillId="47" borderId="41" xfId="0" applyFont="1" applyFill="1" applyBorder="1" applyAlignment="1" applyProtection="1">
      <alignment horizontal="center"/>
    </xf>
    <xf numFmtId="0" fontId="70" fillId="47" borderId="22" xfId="0" applyFont="1" applyFill="1" applyBorder="1" applyAlignment="1" applyProtection="1">
      <alignment horizontal="center"/>
    </xf>
    <xf numFmtId="0" fontId="70" fillId="0" borderId="41" xfId="0" applyNumberFormat="1" applyFont="1" applyFill="1" applyBorder="1" applyAlignment="1" applyProtection="1">
      <alignment horizontal="center" vertical="center"/>
    </xf>
    <xf numFmtId="0" fontId="70" fillId="0" borderId="22" xfId="0" applyNumberFormat="1" applyFont="1" applyFill="1" applyBorder="1" applyAlignment="1" applyProtection="1">
      <alignment horizontal="center" vertical="center"/>
    </xf>
    <xf numFmtId="0" fontId="86" fillId="50" borderId="45" xfId="0" applyFont="1" applyFill="1" applyBorder="1" applyAlignment="1" applyProtection="1">
      <alignment horizontal="center" vertical="center" wrapText="1"/>
    </xf>
    <xf numFmtId="4" fontId="77" fillId="0" borderId="53" xfId="0" applyNumberFormat="1" applyFont="1" applyFill="1" applyBorder="1" applyAlignment="1" applyProtection="1">
      <alignment horizontal="right" vertical="center"/>
    </xf>
    <xf numFmtId="4" fontId="77" fillId="0" borderId="54" xfId="0" applyNumberFormat="1" applyFont="1" applyFill="1" applyBorder="1" applyAlignment="1" applyProtection="1">
      <alignment horizontal="right" vertical="center"/>
    </xf>
    <xf numFmtId="4" fontId="77" fillId="0" borderId="53" xfId="0" applyNumberFormat="1" applyFont="1" applyFill="1" applyBorder="1" applyAlignment="1" applyProtection="1">
      <alignment horizontal="right"/>
    </xf>
    <xf numFmtId="4" fontId="77" fillId="0" borderId="54" xfId="0" applyNumberFormat="1" applyFont="1" applyFill="1" applyBorder="1" applyAlignment="1" applyProtection="1">
      <alignment horizontal="right"/>
    </xf>
    <xf numFmtId="0" fontId="130" fillId="0" borderId="20" xfId="0" applyFont="1" applyFill="1" applyBorder="1" applyAlignment="1" applyProtection="1">
      <alignment horizontal="left"/>
    </xf>
    <xf numFmtId="4" fontId="108" fillId="0" borderId="53" xfId="0" applyNumberFormat="1" applyFont="1" applyFill="1" applyBorder="1" applyAlignment="1" applyProtection="1">
      <alignment horizontal="right"/>
    </xf>
    <xf numFmtId="4" fontId="108" fillId="0" borderId="54" xfId="0" applyNumberFormat="1" applyFont="1" applyFill="1" applyBorder="1" applyAlignment="1" applyProtection="1">
      <alignment horizontal="right"/>
    </xf>
    <xf numFmtId="4" fontId="112" fillId="0" borderId="55" xfId="0" applyNumberFormat="1" applyFont="1" applyFill="1" applyBorder="1" applyAlignment="1" applyProtection="1">
      <alignment horizontal="right"/>
    </xf>
    <xf numFmtId="4" fontId="112" fillId="0" borderId="24" xfId="0" applyNumberFormat="1" applyFont="1" applyFill="1" applyBorder="1" applyAlignment="1" applyProtection="1">
      <alignment horizontal="right"/>
    </xf>
    <xf numFmtId="4" fontId="108" fillId="0" borderId="53" xfId="0" applyNumberFormat="1" applyFont="1" applyFill="1" applyBorder="1" applyAlignment="1" applyProtection="1">
      <alignment horizontal="center"/>
    </xf>
    <xf numFmtId="4" fontId="108" fillId="0" borderId="52" xfId="0" applyNumberFormat="1" applyFont="1" applyFill="1" applyBorder="1" applyAlignment="1" applyProtection="1">
      <alignment horizontal="center"/>
    </xf>
    <xf numFmtId="1" fontId="117" fillId="51" borderId="0" xfId="0" applyNumberFormat="1" applyFont="1" applyFill="1" applyBorder="1" applyAlignment="1" applyProtection="1">
      <alignment horizontal="center"/>
    </xf>
    <xf numFmtId="4" fontId="81" fillId="51" borderId="37" xfId="0" applyNumberFormat="1" applyFont="1" applyFill="1" applyBorder="1" applyAlignment="1" applyProtection="1">
      <alignment horizontal="right"/>
    </xf>
    <xf numFmtId="4" fontId="117" fillId="51" borderId="0" xfId="0" applyNumberFormat="1" applyFont="1" applyFill="1" applyBorder="1" applyAlignment="1" applyProtection="1">
      <alignment horizontal="right"/>
    </xf>
    <xf numFmtId="1" fontId="117" fillId="51" borderId="37" xfId="0" applyNumberFormat="1" applyFont="1" applyFill="1" applyBorder="1" applyAlignment="1" applyProtection="1">
      <alignment horizontal="center"/>
    </xf>
    <xf numFmtId="4" fontId="81" fillId="51" borderId="41" xfId="0" applyNumberFormat="1" applyFont="1" applyFill="1" applyBorder="1" applyAlignment="1" applyProtection="1">
      <alignment horizontal="right"/>
    </xf>
    <xf numFmtId="4" fontId="117" fillId="51" borderId="37" xfId="0" applyNumberFormat="1" applyFont="1" applyFill="1" applyBorder="1" applyAlignment="1" applyProtection="1">
      <alignment horizontal="right"/>
    </xf>
    <xf numFmtId="0" fontId="86" fillId="50" borderId="28" xfId="0" applyFont="1" applyFill="1" applyBorder="1" applyAlignment="1" applyProtection="1">
      <alignment horizontal="center" vertical="center"/>
    </xf>
    <xf numFmtId="0" fontId="86" fillId="50" borderId="38" xfId="0" applyFont="1" applyFill="1" applyBorder="1" applyAlignment="1" applyProtection="1">
      <alignment horizontal="center" vertical="center"/>
    </xf>
    <xf numFmtId="0" fontId="86" fillId="50" borderId="28" xfId="0" applyNumberFormat="1" applyFont="1" applyFill="1" applyBorder="1" applyAlignment="1" applyProtection="1">
      <alignment horizontal="center" vertical="center" wrapText="1"/>
    </xf>
    <xf numFmtId="0" fontId="86" fillId="50" borderId="38" xfId="0" applyNumberFormat="1" applyFont="1" applyFill="1" applyBorder="1" applyAlignment="1" applyProtection="1">
      <alignment horizontal="center" vertical="center" wrapText="1"/>
    </xf>
    <xf numFmtId="1" fontId="117" fillId="51" borderId="20" xfId="0" applyNumberFormat="1" applyFont="1" applyFill="1" applyBorder="1" applyAlignment="1" applyProtection="1">
      <alignment horizontal="center"/>
    </xf>
    <xf numFmtId="0" fontId="117" fillId="51" borderId="20" xfId="0" applyFont="1" applyFill="1" applyBorder="1" applyAlignment="1" applyProtection="1">
      <alignment horizontal="center"/>
    </xf>
    <xf numFmtId="4" fontId="81" fillId="51" borderId="20" xfId="0" applyNumberFormat="1" applyFont="1" applyFill="1" applyBorder="1" applyAlignment="1" applyProtection="1">
      <alignment horizontal="right"/>
    </xf>
    <xf numFmtId="4" fontId="117" fillId="51" borderId="20" xfId="0" applyNumberFormat="1" applyFont="1" applyFill="1" applyBorder="1" applyAlignment="1" applyProtection="1">
      <alignment horizontal="right"/>
    </xf>
    <xf numFmtId="0" fontId="100" fillId="50" borderId="0" xfId="0" applyFont="1" applyFill="1" applyBorder="1" applyAlignment="1" applyProtection="1">
      <alignment horizontal="left" vertical="top" wrapText="1"/>
    </xf>
    <xf numFmtId="1" fontId="86" fillId="50" borderId="28" xfId="0" applyNumberFormat="1" applyFont="1" applyFill="1" applyBorder="1" applyAlignment="1" applyProtection="1">
      <alignment horizontal="center" vertical="center"/>
    </xf>
    <xf numFmtId="1" fontId="86" fillId="50" borderId="47" xfId="0" applyNumberFormat="1" applyFont="1" applyFill="1" applyBorder="1" applyAlignment="1" applyProtection="1">
      <alignment horizontal="center" vertical="center"/>
    </xf>
    <xf numFmtId="0" fontId="86" fillId="50" borderId="19" xfId="0" applyFont="1" applyFill="1" applyBorder="1" applyAlignment="1" applyProtection="1">
      <alignment horizontal="center" vertical="center"/>
    </xf>
    <xf numFmtId="0" fontId="86" fillId="50" borderId="48" xfId="0" applyFont="1" applyFill="1" applyBorder="1" applyAlignment="1" applyProtection="1">
      <alignment horizontal="center" vertical="center"/>
    </xf>
    <xf numFmtId="0" fontId="86" fillId="50" borderId="49" xfId="0" applyFont="1" applyFill="1" applyBorder="1" applyAlignment="1" applyProtection="1">
      <alignment horizontal="center" vertical="center"/>
    </xf>
    <xf numFmtId="0" fontId="86" fillId="50" borderId="50" xfId="0" applyFont="1" applyFill="1" applyBorder="1" applyAlignment="1" applyProtection="1">
      <alignment horizontal="center" vertical="center" wrapText="1"/>
    </xf>
    <xf numFmtId="0" fontId="86" fillId="50" borderId="51" xfId="0" applyFont="1" applyFill="1" applyBorder="1" applyAlignment="1" applyProtection="1">
      <alignment horizontal="center" vertical="center" wrapText="1"/>
    </xf>
    <xf numFmtId="0" fontId="86" fillId="50" borderId="52" xfId="0" applyFont="1" applyFill="1" applyBorder="1" applyAlignment="1" applyProtection="1">
      <alignment horizontal="center" vertical="center" wrapText="1"/>
    </xf>
    <xf numFmtId="0" fontId="117" fillId="0" borderId="26" xfId="0" applyFont="1" applyFill="1" applyBorder="1" applyAlignment="1" applyProtection="1">
      <alignment horizontal="center"/>
    </xf>
    <xf numFmtId="0" fontId="117" fillId="0" borderId="41" xfId="0" applyFont="1" applyFill="1" applyBorder="1" applyAlignment="1" applyProtection="1">
      <alignment horizontal="center"/>
    </xf>
    <xf numFmtId="0" fontId="117" fillId="0" borderId="22" xfId="0" applyFont="1" applyFill="1" applyBorder="1" applyAlignment="1" applyProtection="1">
      <alignment horizontal="center"/>
    </xf>
    <xf numFmtId="0" fontId="117" fillId="47" borderId="26" xfId="0" applyFont="1" applyFill="1" applyBorder="1" applyAlignment="1" applyProtection="1">
      <alignment horizontal="center"/>
    </xf>
    <xf numFmtId="0" fontId="117" fillId="47" borderId="41" xfId="0" applyFont="1" applyFill="1" applyBorder="1" applyAlignment="1" applyProtection="1">
      <alignment horizontal="center"/>
    </xf>
    <xf numFmtId="0" fontId="117" fillId="47" borderId="22" xfId="0" applyFont="1" applyFill="1" applyBorder="1" applyAlignment="1" applyProtection="1">
      <alignment horizontal="center"/>
    </xf>
    <xf numFmtId="0" fontId="171" fillId="51" borderId="0" xfId="0" applyFont="1" applyFill="1" applyBorder="1" applyAlignment="1" applyProtection="1">
      <alignment horizontal="right" vertical="center" wrapText="1"/>
    </xf>
    <xf numFmtId="0" fontId="167" fillId="51" borderId="0" xfId="0" applyFont="1" applyFill="1" applyBorder="1" applyAlignment="1" applyProtection="1">
      <alignment horizontal="center"/>
    </xf>
    <xf numFmtId="0" fontId="162" fillId="51" borderId="0" xfId="0" applyFont="1" applyFill="1" applyAlignment="1" applyProtection="1">
      <alignment horizontal="right" vertical="center"/>
    </xf>
    <xf numFmtId="0" fontId="136" fillId="0" borderId="26" xfId="0" applyFont="1" applyFill="1" applyBorder="1" applyAlignment="1" applyProtection="1">
      <alignment horizontal="right" vertical="center"/>
    </xf>
    <xf numFmtId="0" fontId="136" fillId="0" borderId="41" xfId="0" applyFont="1" applyFill="1" applyBorder="1" applyAlignment="1" applyProtection="1">
      <alignment horizontal="right" vertical="center"/>
    </xf>
    <xf numFmtId="0" fontId="136" fillId="0" borderId="22" xfId="0" applyFont="1" applyFill="1" applyBorder="1" applyAlignment="1" applyProtection="1">
      <alignment horizontal="right" vertical="center"/>
    </xf>
    <xf numFmtId="0" fontId="136" fillId="0" borderId="62" xfId="0" applyFont="1" applyFill="1" applyBorder="1" applyAlignment="1" applyProtection="1">
      <alignment horizontal="right" vertical="center"/>
    </xf>
    <xf numFmtId="0" fontId="136" fillId="0" borderId="63" xfId="0" applyFont="1" applyFill="1" applyBorder="1" applyAlignment="1" applyProtection="1">
      <alignment horizontal="right" vertical="center"/>
    </xf>
    <xf numFmtId="0" fontId="136" fillId="0" borderId="64" xfId="0" applyFont="1" applyFill="1" applyBorder="1" applyAlignment="1" applyProtection="1">
      <alignment horizontal="right" vertical="center"/>
    </xf>
    <xf numFmtId="0" fontId="136" fillId="0" borderId="65" xfId="0" applyFont="1" applyFill="1" applyBorder="1" applyAlignment="1" applyProtection="1">
      <alignment horizontal="right" vertical="center"/>
    </xf>
    <xf numFmtId="0" fontId="171" fillId="51" borderId="0" xfId="0" applyFont="1" applyFill="1" applyBorder="1" applyAlignment="1" applyProtection="1">
      <alignment horizontal="right" vertical="center"/>
    </xf>
    <xf numFmtId="0" fontId="136" fillId="47" borderId="26" xfId="0" applyFont="1" applyFill="1" applyBorder="1" applyAlignment="1" applyProtection="1">
      <alignment horizontal="right" vertical="center" wrapText="1"/>
    </xf>
    <xf numFmtId="0" fontId="136" fillId="47" borderId="41" xfId="0" applyFont="1" applyFill="1" applyBorder="1" applyAlignment="1" applyProtection="1">
      <alignment horizontal="right" vertical="center" wrapText="1"/>
    </xf>
    <xf numFmtId="0" fontId="136" fillId="47" borderId="22" xfId="0" applyFont="1" applyFill="1" applyBorder="1" applyAlignment="1" applyProtection="1">
      <alignment horizontal="right" vertical="center" wrapText="1"/>
    </xf>
    <xf numFmtId="0" fontId="148" fillId="50" borderId="0" xfId="0" applyFont="1" applyFill="1" applyBorder="1" applyAlignment="1" applyProtection="1">
      <alignment horizontal="center" vertical="center"/>
    </xf>
    <xf numFmtId="0" fontId="148" fillId="50" borderId="66" xfId="0" applyFont="1" applyFill="1" applyBorder="1" applyAlignment="1" applyProtection="1">
      <alignment horizontal="center" vertical="center"/>
    </xf>
    <xf numFmtId="0" fontId="81" fillId="46" borderId="68" xfId="0" applyFont="1" applyFill="1" applyBorder="1" applyAlignment="1" applyProtection="1">
      <alignment horizontal="left" vertical="center" wrapText="1"/>
    </xf>
    <xf numFmtId="0" fontId="81" fillId="46" borderId="69" xfId="0" applyFont="1" applyFill="1" applyBorder="1" applyAlignment="1" applyProtection="1">
      <alignment horizontal="left" vertical="center" wrapText="1"/>
    </xf>
    <xf numFmtId="0" fontId="81" fillId="46" borderId="71" xfId="0" applyFont="1" applyFill="1" applyBorder="1" applyAlignment="1" applyProtection="1">
      <alignment horizontal="left" vertical="center" wrapText="1"/>
    </xf>
    <xf numFmtId="0" fontId="81" fillId="46" borderId="0" xfId="0" applyFont="1" applyFill="1" applyBorder="1" applyAlignment="1" applyProtection="1">
      <alignment horizontal="left" vertical="center" wrapText="1"/>
    </xf>
    <xf numFmtId="0" fontId="81" fillId="46" borderId="72" xfId="0" applyFont="1" applyFill="1" applyBorder="1" applyAlignment="1" applyProtection="1">
      <alignment horizontal="left" vertical="center" wrapText="1"/>
    </xf>
    <xf numFmtId="0" fontId="70" fillId="46" borderId="71" xfId="0" applyFont="1" applyFill="1" applyBorder="1" applyAlignment="1" applyProtection="1">
      <alignment horizontal="left" vertical="center" wrapText="1" indent="1"/>
    </xf>
    <xf numFmtId="0" fontId="70" fillId="46" borderId="0" xfId="0" applyFont="1" applyFill="1" applyBorder="1" applyAlignment="1" applyProtection="1">
      <alignment horizontal="left" vertical="center" wrapText="1" indent="1"/>
    </xf>
    <xf numFmtId="0" fontId="70" fillId="46" borderId="72" xfId="0" applyFont="1" applyFill="1" applyBorder="1" applyAlignment="1" applyProtection="1">
      <alignment horizontal="left" vertical="center" wrapText="1" indent="1"/>
    </xf>
    <xf numFmtId="0" fontId="81" fillId="46" borderId="70" xfId="0" applyFont="1" applyFill="1" applyBorder="1" applyAlignment="1" applyProtection="1">
      <alignment horizontal="left" vertical="top" wrapText="1" indent="1"/>
    </xf>
    <xf numFmtId="0" fontId="81" fillId="46" borderId="73" xfId="0" applyFont="1" applyFill="1" applyBorder="1" applyAlignment="1" applyProtection="1">
      <alignment horizontal="left" vertical="top" wrapText="1" indent="1"/>
    </xf>
    <xf numFmtId="0" fontId="81" fillId="46" borderId="74" xfId="0" applyFont="1" applyFill="1" applyBorder="1" applyAlignment="1" applyProtection="1">
      <alignment horizontal="left" vertical="top" wrapText="1" indent="1"/>
    </xf>
    <xf numFmtId="0" fontId="169" fillId="51" borderId="0" xfId="0" applyFont="1" applyFill="1" applyBorder="1" applyAlignment="1" applyProtection="1">
      <alignment horizontal="left" vertical="center" wrapText="1"/>
    </xf>
    <xf numFmtId="0" fontId="68" fillId="47" borderId="26" xfId="0" applyFont="1" applyFill="1" applyBorder="1" applyAlignment="1">
      <alignment horizontal="left" vertical="center"/>
    </xf>
    <xf numFmtId="0" fontId="68" fillId="47" borderId="22" xfId="0" applyFont="1" applyFill="1" applyBorder="1" applyAlignment="1">
      <alignment horizontal="left" vertical="center"/>
    </xf>
    <xf numFmtId="0" fontId="68" fillId="47" borderId="26" xfId="40" applyFont="1" applyFill="1" applyBorder="1" applyAlignment="1">
      <alignment horizontal="left" vertical="center" wrapText="1"/>
    </xf>
    <xf numFmtId="0" fontId="68" fillId="47" borderId="22" xfId="40" applyFont="1" applyFill="1" applyBorder="1" applyAlignment="1">
      <alignment horizontal="left" vertical="center" wrapText="1"/>
    </xf>
    <xf numFmtId="0" fontId="76" fillId="50" borderId="35" xfId="0" applyFont="1" applyFill="1" applyBorder="1" applyAlignment="1">
      <alignment horizontal="center" wrapText="1"/>
    </xf>
    <xf numFmtId="0" fontId="0" fillId="50" borderId="34" xfId="0" applyFill="1" applyBorder="1"/>
    <xf numFmtId="0" fontId="0" fillId="50" borderId="56" xfId="0" applyFill="1" applyBorder="1"/>
    <xf numFmtId="0" fontId="105" fillId="50" borderId="18" xfId="0" applyFont="1" applyFill="1" applyBorder="1" applyAlignment="1">
      <alignment horizontal="center" vertical="center"/>
    </xf>
    <xf numFmtId="0" fontId="105" fillId="50" borderId="0" xfId="0" applyFont="1" applyFill="1" applyBorder="1" applyAlignment="1">
      <alignment horizontal="center" vertical="center"/>
    </xf>
    <xf numFmtId="0" fontId="105" fillId="50" borderId="46" xfId="0" applyFont="1" applyFill="1" applyBorder="1" applyAlignment="1">
      <alignment horizontal="center" vertical="center"/>
    </xf>
    <xf numFmtId="0" fontId="106" fillId="51" borderId="0" xfId="0" applyFont="1" applyFill="1" applyBorder="1" applyAlignment="1">
      <alignment horizontal="left"/>
    </xf>
    <xf numFmtId="0" fontId="106" fillId="51" borderId="0" xfId="0" applyFont="1" applyFill="1" applyBorder="1" applyAlignment="1"/>
    <xf numFmtId="0" fontId="81" fillId="51" borderId="0" xfId="0" applyFont="1" applyFill="1" applyBorder="1" applyAlignment="1">
      <alignment horizontal="left"/>
    </xf>
    <xf numFmtId="0" fontId="160" fillId="50" borderId="0" xfId="0" applyFont="1" applyFill="1" applyBorder="1" applyAlignment="1">
      <alignment horizontal="left" vertical="center" wrapText="1"/>
    </xf>
    <xf numFmtId="0" fontId="160" fillId="50" borderId="0" xfId="0" applyFont="1" applyFill="1" applyBorder="1" applyAlignment="1">
      <alignment horizontal="left" vertical="center"/>
    </xf>
    <xf numFmtId="0" fontId="100" fillId="50" borderId="18" xfId="0" applyFont="1" applyFill="1" applyBorder="1" applyAlignment="1">
      <alignment horizontal="center" vertical="center" wrapText="1"/>
    </xf>
    <xf numFmtId="0" fontId="70" fillId="47" borderId="30" xfId="0" applyFont="1" applyFill="1" applyBorder="1" applyAlignment="1">
      <alignment horizontal="left" vertical="center" wrapText="1"/>
    </xf>
    <xf numFmtId="0" fontId="0" fillId="24" borderId="10" xfId="0" applyFill="1" applyBorder="1" applyAlignment="1">
      <alignment horizontal="center"/>
    </xf>
    <xf numFmtId="0" fontId="49" fillId="0" borderId="0" xfId="0" applyFont="1" applyFill="1" applyBorder="1" applyAlignment="1">
      <alignment horizontal="left"/>
    </xf>
    <xf numFmtId="0" fontId="44" fillId="42" borderId="12" xfId="0" applyFont="1" applyFill="1" applyBorder="1" applyAlignment="1">
      <alignment horizontal="center"/>
    </xf>
    <xf numFmtId="0" fontId="44" fillId="42" borderId="40" xfId="0" applyFont="1" applyFill="1" applyBorder="1" applyAlignment="1">
      <alignment horizontal="center"/>
    </xf>
    <xf numFmtId="0" fontId="44" fillId="42" borderId="15" xfId="0" applyFont="1" applyFill="1" applyBorder="1" applyAlignment="1">
      <alignment horizontal="center"/>
    </xf>
    <xf numFmtId="0" fontId="50" fillId="32" borderId="14" xfId="40" applyFont="1" applyFill="1" applyBorder="1" applyAlignment="1">
      <alignment horizontal="left" vertical="center" wrapText="1"/>
    </xf>
    <xf numFmtId="0" fontId="0" fillId="0" borderId="11" xfId="0" applyBorder="1"/>
    <xf numFmtId="0" fontId="46" fillId="24" borderId="10" xfId="0" applyFont="1" applyFill="1" applyBorder="1" applyAlignment="1">
      <alignment horizontal="center"/>
    </xf>
    <xf numFmtId="0" fontId="44" fillId="42" borderId="0" xfId="0" applyFont="1" applyFill="1" applyBorder="1" applyAlignment="1">
      <alignment horizontal="center" vertical="center"/>
    </xf>
    <xf numFmtId="0" fontId="44" fillId="42" borderId="23" xfId="0" applyFont="1" applyFill="1" applyBorder="1" applyAlignment="1">
      <alignment horizontal="center" vertical="center"/>
    </xf>
    <xf numFmtId="0" fontId="44" fillId="42" borderId="39" xfId="0" applyFont="1" applyFill="1" applyBorder="1" applyAlignment="1">
      <alignment horizontal="center" vertical="center"/>
    </xf>
    <xf numFmtId="0" fontId="44" fillId="42" borderId="25" xfId="0" applyFont="1" applyFill="1" applyBorder="1" applyAlignment="1">
      <alignment horizontal="center" vertical="center"/>
    </xf>
    <xf numFmtId="0" fontId="50" fillId="32" borderId="13" xfId="40" applyFont="1" applyFill="1" applyBorder="1" applyAlignment="1">
      <alignment horizontal="left" vertical="center" wrapText="1"/>
    </xf>
    <xf numFmtId="0" fontId="50" fillId="32" borderId="11" xfId="40" applyFont="1" applyFill="1" applyBorder="1" applyAlignment="1">
      <alignment horizontal="left" vertical="center" wrapText="1"/>
    </xf>
    <xf numFmtId="0" fontId="46" fillId="24" borderId="0" xfId="0" applyFont="1" applyFill="1" applyBorder="1" applyAlignment="1">
      <alignment horizontal="center" vertical="center"/>
    </xf>
    <xf numFmtId="0" fontId="47" fillId="0" borderId="0" xfId="0" applyFont="1" applyFill="1" applyAlignment="1">
      <alignment horizontal="left" vertical="center" wrapText="1"/>
    </xf>
    <xf numFmtId="0" fontId="0" fillId="0" borderId="0" xfId="0" applyFont="1" applyFill="1" applyAlignment="1">
      <alignment horizontal="left" vertical="center" wrapText="1"/>
    </xf>
    <xf numFmtId="0" fontId="46" fillId="35" borderId="10" xfId="0" applyFont="1" applyFill="1" applyBorder="1" applyAlignment="1">
      <alignment horizontal="center"/>
    </xf>
    <xf numFmtId="165" fontId="46" fillId="35" borderId="10" xfId="0" applyNumberFormat="1" applyFont="1" applyFill="1" applyBorder="1" applyAlignment="1">
      <alignment horizontal="center"/>
    </xf>
    <xf numFmtId="0" fontId="46" fillId="35" borderId="10" xfId="0" applyFont="1" applyFill="1" applyBorder="1" applyAlignment="1">
      <alignment horizontal="center" vertical="center" wrapText="1"/>
    </xf>
    <xf numFmtId="0" fontId="0" fillId="0" borderId="0" xfId="0" applyBorder="1" applyAlignment="1">
      <alignment horizontal="left" wrapText="1"/>
    </xf>
    <xf numFmtId="0" fontId="0" fillId="0" borderId="0" xfId="0" applyBorder="1" applyAlignment="1">
      <alignment horizontal="left" vertical="center" wrapText="1"/>
    </xf>
  </cellXfs>
  <cellStyles count="52">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Bueno" xfId="50" builtinId="26"/>
    <cellStyle name="Calculation" xfId="26" xr:uid="{00000000-0005-0000-0000-00001A000000}"/>
    <cellStyle name="Check Cell" xfId="27" xr:uid="{00000000-0005-0000-0000-00001B000000}"/>
    <cellStyle name="Explanatory Text" xfId="28" xr:uid="{00000000-0005-0000-0000-00001C000000}"/>
    <cellStyle name="Good" xfId="29" xr:uid="{00000000-0005-0000-0000-00001D000000}"/>
    <cellStyle name="Heading 1" xfId="30" xr:uid="{00000000-0005-0000-0000-00001E000000}"/>
    <cellStyle name="Heading 2" xfId="31" xr:uid="{00000000-0005-0000-0000-00001F000000}"/>
    <cellStyle name="Heading 3" xfId="32" xr:uid="{00000000-0005-0000-0000-000020000000}"/>
    <cellStyle name="Heading 4" xfId="33" xr:uid="{00000000-0005-0000-0000-000021000000}"/>
    <cellStyle name="Hipervínculo" xfId="34" builtinId="8"/>
    <cellStyle name="Input" xfId="35" xr:uid="{00000000-0005-0000-0000-000023000000}"/>
    <cellStyle name="Linked Cell" xfId="36" xr:uid="{00000000-0005-0000-0000-000024000000}"/>
    <cellStyle name="Millares 2" xfId="37" xr:uid="{00000000-0005-0000-0000-000025000000}"/>
    <cellStyle name="Millares 2 2" xfId="51" xr:uid="{00000000-0005-0000-0000-000026000000}"/>
    <cellStyle name="Neutral 2" xfId="38" xr:uid="{00000000-0005-0000-0000-000027000000}"/>
    <cellStyle name="Neutral 3" xfId="39" xr:uid="{00000000-0005-0000-0000-000028000000}"/>
    <cellStyle name="Normal" xfId="0" builtinId="0"/>
    <cellStyle name="Normal 2" xfId="40" xr:uid="{00000000-0005-0000-0000-00002A000000}"/>
    <cellStyle name="Normal 2 2" xfId="41" xr:uid="{00000000-0005-0000-0000-00002B000000}"/>
    <cellStyle name="Normal 3" xfId="42" xr:uid="{00000000-0005-0000-0000-00002C000000}"/>
    <cellStyle name="Normal 4" xfId="43" xr:uid="{00000000-0005-0000-0000-00002D000000}"/>
    <cellStyle name="Note" xfId="44" xr:uid="{00000000-0005-0000-0000-00002E000000}"/>
    <cellStyle name="Output" xfId="45" xr:uid="{00000000-0005-0000-0000-00002F000000}"/>
    <cellStyle name="Title" xfId="46" xr:uid="{00000000-0005-0000-0000-000030000000}"/>
    <cellStyle name="Total 2" xfId="47" xr:uid="{00000000-0005-0000-0000-000031000000}"/>
    <cellStyle name="Total 3" xfId="48" xr:uid="{00000000-0005-0000-0000-000032000000}"/>
    <cellStyle name="Warning Text" xfId="49" xr:uid="{00000000-0005-0000-0000-000033000000}"/>
  </cellStyles>
  <dxfs count="18">
    <dxf>
      <font>
        <color theme="1"/>
      </font>
      <fill>
        <patternFill>
          <bgColor theme="0"/>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bgColor rgb="FF339966"/>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bgColor rgb="FF339966"/>
        </patternFill>
      </fill>
      <border>
        <left style="thin">
          <color theme="0" tint="-0.499984740745262"/>
        </left>
        <right style="thin">
          <color theme="0" tint="-0.499984740745262"/>
        </right>
        <top style="thin">
          <color theme="0" tint="-0.499984740745262"/>
        </top>
        <bottom style="thin">
          <color theme="0" tint="-0.499984740745262"/>
        </bottom>
      </border>
    </dxf>
    <dxf>
      <font>
        <color auto="1"/>
      </font>
      <fill>
        <patternFill>
          <bgColor theme="0"/>
        </patternFill>
      </fill>
      <border>
        <left style="thin">
          <color theme="0" tint="-0.499984740745262"/>
        </left>
        <right style="thin">
          <color theme="0" tint="-0.499984740745262"/>
        </right>
        <top style="thin">
          <color theme="0" tint="-0.499984740745262"/>
        </top>
        <bottom style="thin">
          <color theme="0" tint="-0.499984740745262"/>
        </bottom>
      </border>
    </dxf>
    <dxf>
      <font>
        <color auto="1"/>
      </font>
      <fill>
        <patternFill>
          <bgColor theme="0"/>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bgColor rgb="FF339966"/>
        </patternFill>
      </fill>
      <border>
        <left style="thin">
          <color theme="0"/>
        </left>
        <right style="thin">
          <color theme="0"/>
        </right>
        <top style="thin">
          <color theme="0"/>
        </top>
        <bottom style="thin">
          <color theme="0"/>
        </bottom>
      </border>
    </dxf>
    <dxf>
      <fill>
        <patternFill patternType="none">
          <bgColor indexed="65"/>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indexed="65"/>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0"/>
        </patternFill>
      </fill>
      <border>
        <left style="thin">
          <color theme="0" tint="-0.499984740745262"/>
        </left>
        <right style="thin">
          <color theme="0" tint="-0.499984740745262"/>
        </right>
        <top style="thin">
          <color theme="0" tint="-0.499984740745262"/>
        </top>
        <bottom style="thin">
          <color theme="0" tint="-0.499984740745262"/>
        </bottom>
      </border>
    </dxf>
    <dxf>
      <font>
        <b/>
        <i val="0"/>
        <color theme="0"/>
      </font>
      <fill>
        <patternFill>
          <bgColor rgb="FF339966"/>
        </patternFill>
      </fill>
      <border>
        <left style="thin">
          <color theme="0"/>
        </left>
        <right style="thin">
          <color theme="0"/>
        </right>
        <top style="thin">
          <color theme="0"/>
        </top>
        <bottom style="thin">
          <color theme="0"/>
        </bottom>
      </border>
    </dxf>
    <dxf>
      <font>
        <color theme="0"/>
      </font>
      <fill>
        <patternFill>
          <bgColor rgb="FF339966"/>
        </patternFill>
      </fill>
    </dxf>
    <dxf>
      <font>
        <color auto="1"/>
      </font>
    </dxf>
    <dxf>
      <fill>
        <patternFill>
          <bgColor theme="6" tint="0.39994506668294322"/>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indexed="65"/>
        </patternFill>
      </fill>
      <border>
        <left style="thin">
          <color theme="0" tint="-0.499984740745262"/>
        </left>
        <right style="thin">
          <color theme="0" tint="-0.499984740745262"/>
        </right>
        <top style="thin">
          <color theme="0" tint="-0.499984740745262"/>
        </top>
        <bottom style="thin">
          <color theme="0" tint="-0.499984740745262"/>
        </bottom>
      </border>
    </dxf>
    <dxf>
      <font>
        <color rgb="FFFF0000"/>
      </font>
    </dxf>
    <dxf>
      <font>
        <color rgb="FFFF0000"/>
      </font>
    </dxf>
    <dxf>
      <font>
        <color rgb="FFFF0000"/>
      </font>
    </dxf>
    <dxf>
      <font>
        <color rgb="FFFF0000"/>
      </font>
    </dxf>
  </dxfs>
  <tableStyles count="0" defaultTableStyle="TableStyleMedium2" defaultPivotStyle="PivotStyleLight16"/>
  <colors>
    <mruColors>
      <color rgb="FF10069F"/>
      <color rgb="FFC5D9F1"/>
      <color rgb="FF0099FF"/>
      <color rgb="FF0066FF"/>
      <color rgb="FFCCFFCC"/>
      <color rgb="FF99FFCC"/>
      <color rgb="FF339966"/>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ES" sz="1600" b="1" i="0" u="none" strike="noStrike" baseline="0">
                <a:solidFill>
                  <a:srgbClr val="000000"/>
                </a:solidFill>
                <a:latin typeface="Calibri"/>
              </a:rPr>
              <a:t>Absorciones estimadas a los 30 años </a:t>
            </a:r>
          </a:p>
          <a:p>
            <a:pPr>
              <a:defRPr sz="1000" b="0" i="0" u="none" strike="noStrike" baseline="0">
                <a:solidFill>
                  <a:srgbClr val="000000"/>
                </a:solidFill>
                <a:latin typeface="Calibri"/>
                <a:ea typeface="Calibri"/>
                <a:cs typeface="Calibri"/>
              </a:defRPr>
            </a:pPr>
            <a:r>
              <a:rPr lang="es-ES" sz="1600" b="1" i="0" u="none" strike="noStrike" baseline="0">
                <a:solidFill>
                  <a:srgbClr val="000000"/>
                </a:solidFill>
                <a:latin typeface="Calibri"/>
              </a:rPr>
              <a:t>(t CO</a:t>
            </a:r>
            <a:r>
              <a:rPr lang="es-ES" sz="1600" b="1" i="0" u="none" strike="noStrike" baseline="-25000">
                <a:solidFill>
                  <a:srgbClr val="000000"/>
                </a:solidFill>
                <a:latin typeface="Calibri"/>
              </a:rPr>
              <a:t>2</a:t>
            </a:r>
            <a:r>
              <a:rPr lang="es-ES" sz="1600" b="1" i="0" u="none" strike="noStrike" baseline="0">
                <a:solidFill>
                  <a:srgbClr val="000000"/>
                </a:solidFill>
                <a:latin typeface="Calibri"/>
              </a:rPr>
              <a:t>/pie)</a:t>
            </a:r>
          </a:p>
        </c:rich>
      </c:tx>
      <c:layout>
        <c:manualLayout>
          <c:xMode val="edge"/>
          <c:yMode val="edge"/>
          <c:x val="0.17125071546803211"/>
          <c:y val="3.5727045373347625E-3"/>
        </c:manualLayout>
      </c:layout>
      <c:overlay val="0"/>
      <c:spPr>
        <a:noFill/>
        <a:ln w="25400">
          <a:noFill/>
        </a:ln>
      </c:spPr>
    </c:title>
    <c:autoTitleDeleted val="0"/>
    <c:plotArea>
      <c:layout>
        <c:manualLayout>
          <c:layoutTarget val="inner"/>
          <c:xMode val="edge"/>
          <c:yMode val="edge"/>
          <c:x val="0.49553060073098337"/>
          <c:y val="4.2665040004327817E-2"/>
          <c:w val="0.44752235877057422"/>
          <c:h val="0.93663157776919681"/>
        </c:manualLayout>
      </c:layout>
      <c:barChart>
        <c:barDir val="bar"/>
        <c:grouping val="clustered"/>
        <c:varyColors val="0"/>
        <c:ser>
          <c:idx val="0"/>
          <c:order val="0"/>
          <c:tx>
            <c:v>especies</c:v>
          </c:tx>
          <c:spPr>
            <a:solidFill>
              <a:schemeClr val="accent1">
                <a:lumMod val="75000"/>
              </a:schemeClr>
            </a:solidFill>
          </c:spPr>
          <c:invertIfNegative val="0"/>
          <c:cat>
            <c:strRef>
              <c:f>'4. Factores de absorción'!$C$114:$C$203</c:f>
              <c:strCache>
                <c:ptCount val="90"/>
                <c:pt idx="0">
                  <c:v>Chamaecyparis lawsoniana</c:v>
                </c:pt>
                <c:pt idx="1">
                  <c:v>Juniperus oxycedrus, J. communis</c:v>
                </c:pt>
                <c:pt idx="2">
                  <c:v>Juniperus thurifera</c:v>
                </c:pt>
                <c:pt idx="3">
                  <c:v>Thuja spp.</c:v>
                </c:pt>
                <c:pt idx="4">
                  <c:v>Fagus sylvatica</c:v>
                </c:pt>
                <c:pt idx="5">
                  <c:v>Juniperus phoenicea</c:v>
                </c:pt>
                <c:pt idx="6">
                  <c:v>Pinus pinaster (Resto)</c:v>
                </c:pt>
                <c:pt idx="7">
                  <c:v>Ilex aquifolium</c:v>
                </c:pt>
                <c:pt idx="8">
                  <c:v>Ilex canariensis</c:v>
                </c:pt>
                <c:pt idx="9">
                  <c:v>Pinus nigra Sistema Ibérico</c:v>
                </c:pt>
                <c:pt idx="10">
                  <c:v>Pinus sylvestris Sistema Ibérico</c:v>
                </c:pt>
                <c:pt idx="11">
                  <c:v>Cupressus arizonica</c:v>
                </c:pt>
                <c:pt idx="12">
                  <c:v>Cupressus macrocarpa</c:v>
                </c:pt>
                <c:pt idx="13">
                  <c:v>Cupressus sempervirens</c:v>
                </c:pt>
                <c:pt idx="14">
                  <c:v>Pinus sylvestris Sistema Central</c:v>
                </c:pt>
                <c:pt idx="15">
                  <c:v>Pinus sylvestris (Resto)</c:v>
                </c:pt>
                <c:pt idx="16">
                  <c:v>Taxus baccata</c:v>
                </c:pt>
                <c:pt idx="17">
                  <c:v>Pinus sylvestris Pirineos</c:v>
                </c:pt>
                <c:pt idx="18">
                  <c:v>Quercus ilex</c:v>
                </c:pt>
                <c:pt idx="19">
                  <c:v>Olea europaea</c:v>
                </c:pt>
                <c:pt idx="20">
                  <c:v>Pinus halepensis</c:v>
                </c:pt>
                <c:pt idx="21">
                  <c:v>Pinus nigra (Resto)</c:v>
                </c:pt>
                <c:pt idx="22">
                  <c:v>Tamarix spp.</c:v>
                </c:pt>
                <c:pt idx="23">
                  <c:v>Tetraclinis articulata</c:v>
                </c:pt>
                <c:pt idx="24">
                  <c:v>Arbutus unedo</c:v>
                </c:pt>
                <c:pt idx="25">
                  <c:v>Betula spp.</c:v>
                </c:pt>
                <c:pt idx="26">
                  <c:v>Carpinus betulus</c:v>
                </c:pt>
                <c:pt idx="27">
                  <c:v>Ceratonia siliqua</c:v>
                </c:pt>
                <c:pt idx="28">
                  <c:v>Phillyrea latifolia</c:v>
                </c:pt>
                <c:pt idx="29">
                  <c:v>Pinus uncinata</c:v>
                </c:pt>
                <c:pt idx="30">
                  <c:v>Tilia spp.</c:v>
                </c:pt>
                <c:pt idx="31">
                  <c:v>Abies alba</c:v>
                </c:pt>
                <c:pt idx="32">
                  <c:v>Alnus spp.</c:v>
                </c:pt>
                <c:pt idx="33">
                  <c:v>Quercus faginea</c:v>
                </c:pt>
                <c:pt idx="34">
                  <c:v>Quercus suber</c:v>
                </c:pt>
                <c:pt idx="35">
                  <c:v>Corylus avellana</c:v>
                </c:pt>
                <c:pt idx="36">
                  <c:v>Quercus canariensis</c:v>
                </c:pt>
                <c:pt idx="37">
                  <c:v>Pinus canariensis</c:v>
                </c:pt>
                <c:pt idx="38">
                  <c:v>Quercus pubescens</c:v>
                </c:pt>
                <c:pt idx="39">
                  <c:v>Quercus pyrenaica</c:v>
                </c:pt>
                <c:pt idx="40">
                  <c:v>Pinus pinea</c:v>
                </c:pt>
                <c:pt idx="41">
                  <c:v>Fraxinus spp.</c:v>
                </c:pt>
                <c:pt idx="42">
                  <c:v>Pinus pinaster ssp. mesogeensis Sistema Central</c:v>
                </c:pt>
                <c:pt idx="43">
                  <c:v>Quercus petraea</c:v>
                </c:pt>
                <c:pt idx="44">
                  <c:v>Castanea sativa</c:v>
                </c:pt>
                <c:pt idx="45">
                  <c:v>Juglans regia</c:v>
                </c:pt>
                <c:pt idx="46">
                  <c:v>Quercus robur</c:v>
                </c:pt>
                <c:pt idx="47">
                  <c:v>Robinia pseudacacia</c:v>
                </c:pt>
                <c:pt idx="48">
                  <c:v>Amelanchier ovalis</c:v>
                </c:pt>
                <c:pt idx="49">
                  <c:v>Cornus sanguinea</c:v>
                </c:pt>
                <c:pt idx="50">
                  <c:v>Crataegus spp.</c:v>
                </c:pt>
                <c:pt idx="51">
                  <c:v>Erica arborea (Canarias)</c:v>
                </c:pt>
                <c:pt idx="52">
                  <c:v>Laurus azorica</c:v>
                </c:pt>
                <c:pt idx="53">
                  <c:v>Laurus nobilis</c:v>
                </c:pt>
                <c:pt idx="54">
                  <c:v>Myrica faya</c:v>
                </c:pt>
                <c:pt idx="55">
                  <c:v>Myrtus communis</c:v>
                </c:pt>
                <c:pt idx="56">
                  <c:v>Pistacia terebinthus</c:v>
                </c:pt>
                <c:pt idx="57">
                  <c:v>Rhamnus alaternus</c:v>
                </c:pt>
                <c:pt idx="58">
                  <c:v>Acer spp.</c:v>
                </c:pt>
                <c:pt idx="59">
                  <c:v>Malus sylvestris</c:v>
                </c:pt>
                <c:pt idx="60">
                  <c:v>Prunus spp.</c:v>
                </c:pt>
                <c:pt idx="61">
                  <c:v>Pyrus spp.</c:v>
                </c:pt>
                <c:pt idx="62">
                  <c:v>Quercus rubra</c:v>
                </c:pt>
                <c:pt idx="63">
                  <c:v>Sorbus spp.</c:v>
                </c:pt>
                <c:pt idx="64">
                  <c:v>Ulmus spp.</c:v>
                </c:pt>
                <c:pt idx="65">
                  <c:v>Quercus robur Galicia</c:v>
                </c:pt>
                <c:pt idx="66">
                  <c:v>Abies pinsapo</c:v>
                </c:pt>
                <c:pt idx="67">
                  <c:v>Betula alba Galicia</c:v>
                </c:pt>
                <c:pt idx="68">
                  <c:v>Pinus sylvestris Galicia</c:v>
                </c:pt>
                <c:pt idx="69">
                  <c:v>Larix spp.</c:v>
                </c:pt>
                <c:pt idx="70">
                  <c:v>Pinus pinaster ssp. atlantica Zona Norte interior</c:v>
                </c:pt>
                <c:pt idx="71">
                  <c:v>Platanus hispanica</c:v>
                </c:pt>
                <c:pt idx="72">
                  <c:v>Populus alba</c:v>
                </c:pt>
                <c:pt idx="73">
                  <c:v>Pinus pinaster ssp. atlantica Zona Norte costera</c:v>
                </c:pt>
                <c:pt idx="74">
                  <c:v>Phoenix spp.</c:v>
                </c:pt>
                <c:pt idx="75">
                  <c:v>Salix spp.</c:v>
                </c:pt>
                <c:pt idx="76">
                  <c:v>Pseudotsuga menziesii Galicia</c:v>
                </c:pt>
                <c:pt idx="77">
                  <c:v>Pinus pinaster ssp. atlantica Asturias</c:v>
                </c:pt>
                <c:pt idx="78">
                  <c:v>Celtis australis</c:v>
                </c:pt>
                <c:pt idx="79">
                  <c:v>Populus nigra</c:v>
                </c:pt>
                <c:pt idx="80">
                  <c:v>Pinus radiata Asturias</c:v>
                </c:pt>
                <c:pt idx="81">
                  <c:v>Pinus radiata</c:v>
                </c:pt>
                <c:pt idx="82">
                  <c:v>Populus x canadensis</c:v>
                </c:pt>
                <c:pt idx="83">
                  <c:v>Cedrus atlantica</c:v>
                </c:pt>
                <c:pt idx="84">
                  <c:v>Picea abies</c:v>
                </c:pt>
                <c:pt idx="85">
                  <c:v>Pseudotsuga menziesii</c:v>
                </c:pt>
                <c:pt idx="86">
                  <c:v>Castanea sativa Asturias</c:v>
                </c:pt>
                <c:pt idx="87">
                  <c:v>Eucalyptus camaldulensis</c:v>
                </c:pt>
                <c:pt idx="88">
                  <c:v>Eucalyptus globulus</c:v>
                </c:pt>
                <c:pt idx="89">
                  <c:v>Eucalyptus globulus Asturias</c:v>
                </c:pt>
              </c:strCache>
            </c:strRef>
          </c:cat>
          <c:val>
            <c:numRef>
              <c:f>'4. Factores de absorción'!$D$114:$D$203</c:f>
              <c:numCache>
                <c:formatCode>0.00</c:formatCode>
                <c:ptCount val="90"/>
                <c:pt idx="0">
                  <c:v>0.01</c:v>
                </c:pt>
                <c:pt idx="1">
                  <c:v>0.02</c:v>
                </c:pt>
                <c:pt idx="2">
                  <c:v>0.02</c:v>
                </c:pt>
                <c:pt idx="3">
                  <c:v>0.02</c:v>
                </c:pt>
                <c:pt idx="4">
                  <c:v>0.03</c:v>
                </c:pt>
                <c:pt idx="5">
                  <c:v>0.03</c:v>
                </c:pt>
                <c:pt idx="6">
                  <c:v>0.03</c:v>
                </c:pt>
                <c:pt idx="7">
                  <c:v>0.05</c:v>
                </c:pt>
                <c:pt idx="8">
                  <c:v>0.05</c:v>
                </c:pt>
                <c:pt idx="9">
                  <c:v>0.05</c:v>
                </c:pt>
                <c:pt idx="10">
                  <c:v>0.05</c:v>
                </c:pt>
                <c:pt idx="11">
                  <c:v>0.06</c:v>
                </c:pt>
                <c:pt idx="12">
                  <c:v>0.06</c:v>
                </c:pt>
                <c:pt idx="13">
                  <c:v>0.06</c:v>
                </c:pt>
                <c:pt idx="14">
                  <c:v>0.06</c:v>
                </c:pt>
                <c:pt idx="15">
                  <c:v>0.06</c:v>
                </c:pt>
                <c:pt idx="16">
                  <c:v>0.06</c:v>
                </c:pt>
                <c:pt idx="17">
                  <c:v>7.0000000000000007E-2</c:v>
                </c:pt>
                <c:pt idx="18">
                  <c:v>7.0000000000000007E-2</c:v>
                </c:pt>
                <c:pt idx="19">
                  <c:v>0.08</c:v>
                </c:pt>
                <c:pt idx="20">
                  <c:v>0.08</c:v>
                </c:pt>
                <c:pt idx="21">
                  <c:v>0.08</c:v>
                </c:pt>
                <c:pt idx="22">
                  <c:v>0.08</c:v>
                </c:pt>
                <c:pt idx="23">
                  <c:v>0.08</c:v>
                </c:pt>
                <c:pt idx="24">
                  <c:v>0.09</c:v>
                </c:pt>
                <c:pt idx="25">
                  <c:v>0.09</c:v>
                </c:pt>
                <c:pt idx="26">
                  <c:v>0.09</c:v>
                </c:pt>
                <c:pt idx="27">
                  <c:v>0.09</c:v>
                </c:pt>
                <c:pt idx="28">
                  <c:v>0.09</c:v>
                </c:pt>
                <c:pt idx="29">
                  <c:v>0.09</c:v>
                </c:pt>
                <c:pt idx="30">
                  <c:v>0.09</c:v>
                </c:pt>
                <c:pt idx="31">
                  <c:v>0.1</c:v>
                </c:pt>
                <c:pt idx="32">
                  <c:v>0.1</c:v>
                </c:pt>
                <c:pt idx="33">
                  <c:v>0.1</c:v>
                </c:pt>
                <c:pt idx="34">
                  <c:v>0.11</c:v>
                </c:pt>
                <c:pt idx="35">
                  <c:v>0.12</c:v>
                </c:pt>
                <c:pt idx="36">
                  <c:v>0.13</c:v>
                </c:pt>
                <c:pt idx="37">
                  <c:v>0.14000000000000001</c:v>
                </c:pt>
                <c:pt idx="38">
                  <c:v>0.15</c:v>
                </c:pt>
                <c:pt idx="39">
                  <c:v>0.15</c:v>
                </c:pt>
                <c:pt idx="40">
                  <c:v>0.17</c:v>
                </c:pt>
                <c:pt idx="41">
                  <c:v>0.18</c:v>
                </c:pt>
                <c:pt idx="42">
                  <c:v>0.18</c:v>
                </c:pt>
                <c:pt idx="43">
                  <c:v>0.18</c:v>
                </c:pt>
                <c:pt idx="44">
                  <c:v>0.19</c:v>
                </c:pt>
                <c:pt idx="45">
                  <c:v>0.19</c:v>
                </c:pt>
                <c:pt idx="46">
                  <c:v>0.19</c:v>
                </c:pt>
                <c:pt idx="47">
                  <c:v>0.19</c:v>
                </c:pt>
                <c:pt idx="48">
                  <c:v>0.21</c:v>
                </c:pt>
                <c:pt idx="49">
                  <c:v>0.21</c:v>
                </c:pt>
                <c:pt idx="50">
                  <c:v>0.21</c:v>
                </c:pt>
                <c:pt idx="51">
                  <c:v>0.21</c:v>
                </c:pt>
                <c:pt idx="52">
                  <c:v>0.21</c:v>
                </c:pt>
                <c:pt idx="53">
                  <c:v>0.21</c:v>
                </c:pt>
                <c:pt idx="54">
                  <c:v>0.21</c:v>
                </c:pt>
                <c:pt idx="55">
                  <c:v>0.21</c:v>
                </c:pt>
                <c:pt idx="56">
                  <c:v>0.21</c:v>
                </c:pt>
                <c:pt idx="57">
                  <c:v>0.21</c:v>
                </c:pt>
                <c:pt idx="58">
                  <c:v>0.22</c:v>
                </c:pt>
                <c:pt idx="59">
                  <c:v>0.22</c:v>
                </c:pt>
                <c:pt idx="60">
                  <c:v>0.22</c:v>
                </c:pt>
                <c:pt idx="61">
                  <c:v>0.22</c:v>
                </c:pt>
                <c:pt idx="62">
                  <c:v>0.22</c:v>
                </c:pt>
                <c:pt idx="63">
                  <c:v>0.25</c:v>
                </c:pt>
                <c:pt idx="64">
                  <c:v>0.27</c:v>
                </c:pt>
                <c:pt idx="65">
                  <c:v>0.3286848580184808</c:v>
                </c:pt>
                <c:pt idx="66">
                  <c:v>0.33</c:v>
                </c:pt>
                <c:pt idx="67">
                  <c:v>0.40204354808515036</c:v>
                </c:pt>
                <c:pt idx="68">
                  <c:v>0.4564704458343436</c:v>
                </c:pt>
                <c:pt idx="69">
                  <c:v>0.52</c:v>
                </c:pt>
                <c:pt idx="70">
                  <c:v>0.57999999999999996</c:v>
                </c:pt>
                <c:pt idx="71">
                  <c:v>0.67</c:v>
                </c:pt>
                <c:pt idx="72">
                  <c:v>0.67</c:v>
                </c:pt>
                <c:pt idx="73">
                  <c:v>0.69</c:v>
                </c:pt>
                <c:pt idx="74">
                  <c:v>0.9</c:v>
                </c:pt>
                <c:pt idx="75">
                  <c:v>0.9</c:v>
                </c:pt>
                <c:pt idx="76">
                  <c:v>0.90441617455756129</c:v>
                </c:pt>
                <c:pt idx="77">
                  <c:v>0.96540466362171351</c:v>
                </c:pt>
                <c:pt idx="78">
                  <c:v>1.01</c:v>
                </c:pt>
                <c:pt idx="79">
                  <c:v>1.01</c:v>
                </c:pt>
                <c:pt idx="80">
                  <c:v>1.0360680060461656</c:v>
                </c:pt>
                <c:pt idx="81">
                  <c:v>1.17</c:v>
                </c:pt>
                <c:pt idx="82">
                  <c:v>1.18</c:v>
                </c:pt>
                <c:pt idx="83">
                  <c:v>1.3</c:v>
                </c:pt>
                <c:pt idx="84">
                  <c:v>1.3</c:v>
                </c:pt>
                <c:pt idx="85">
                  <c:v>1.3</c:v>
                </c:pt>
                <c:pt idx="86">
                  <c:v>1.3195063122807065</c:v>
                </c:pt>
                <c:pt idx="87">
                  <c:v>1.57</c:v>
                </c:pt>
                <c:pt idx="88">
                  <c:v>2.04</c:v>
                </c:pt>
                <c:pt idx="89">
                  <c:v>3.3428779312499994</c:v>
                </c:pt>
              </c:numCache>
            </c:numRef>
          </c:val>
          <c:extLst>
            <c:ext xmlns:c16="http://schemas.microsoft.com/office/drawing/2014/chart" uri="{C3380CC4-5D6E-409C-BE32-E72D297353CC}">
              <c16:uniqueId val="{00000000-4DEE-4A1E-B44F-2C418E7E038B}"/>
            </c:ext>
          </c:extLst>
        </c:ser>
        <c:dLbls>
          <c:showLegendKey val="0"/>
          <c:showVal val="0"/>
          <c:showCatName val="0"/>
          <c:showSerName val="0"/>
          <c:showPercent val="0"/>
          <c:showBubbleSize val="0"/>
        </c:dLbls>
        <c:gapWidth val="150"/>
        <c:axId val="365843816"/>
        <c:axId val="365848520"/>
      </c:barChart>
      <c:catAx>
        <c:axId val="365843816"/>
        <c:scaling>
          <c:orientation val="minMax"/>
        </c:scaling>
        <c:delete val="0"/>
        <c:axPos val="l"/>
        <c:numFmt formatCode="General" sourceLinked="1"/>
        <c:majorTickMark val="out"/>
        <c:minorTickMark val="none"/>
        <c:tickLblPos val="nextTo"/>
        <c:txPr>
          <a:bodyPr rot="0" vert="horz"/>
          <a:lstStyle/>
          <a:p>
            <a:pPr>
              <a:defRPr sz="900" b="0" i="1" u="none" strike="noStrike" baseline="0">
                <a:solidFill>
                  <a:srgbClr val="000000"/>
                </a:solidFill>
                <a:latin typeface="Calibri"/>
                <a:ea typeface="Calibri"/>
                <a:cs typeface="Calibri"/>
              </a:defRPr>
            </a:pPr>
            <a:endParaRPr lang="es-ES"/>
          </a:p>
        </c:txPr>
        <c:crossAx val="365848520"/>
        <c:crosses val="autoZero"/>
        <c:auto val="1"/>
        <c:lblAlgn val="ctr"/>
        <c:lblOffset val="100"/>
        <c:noMultiLvlLbl val="0"/>
      </c:catAx>
      <c:valAx>
        <c:axId val="365848520"/>
        <c:scaling>
          <c:orientation val="minMax"/>
          <c:max val="5"/>
          <c:min val="0"/>
        </c:scaling>
        <c:delete val="0"/>
        <c:axPos val="b"/>
        <c:majorGridlines/>
        <c:numFmt formatCode="0" sourceLinked="0"/>
        <c:majorTickMark val="out"/>
        <c:minorTickMark val="none"/>
        <c:tickLblPos val="nextTo"/>
        <c:txPr>
          <a:bodyPr rot="0" vert="horz"/>
          <a:lstStyle/>
          <a:p>
            <a:pPr>
              <a:defRPr sz="1000" b="0" i="0" u="none" strike="noStrike" baseline="0">
                <a:solidFill>
                  <a:srgbClr val="000000"/>
                </a:solidFill>
                <a:latin typeface="Arial Narrow" panose="020B0606020202030204" pitchFamily="34" charset="0"/>
                <a:ea typeface="Calibri"/>
                <a:cs typeface="Calibri"/>
              </a:defRPr>
            </a:pPr>
            <a:endParaRPr lang="es-ES"/>
          </a:p>
        </c:txPr>
        <c:crossAx val="365843816"/>
        <c:crosses val="autoZero"/>
        <c:crossBetween val="between"/>
        <c:majorUnit val="1"/>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2. Estimaci&#243;n absorci&#243;n total'!A1"/><Relationship Id="rId3" Type="http://schemas.openxmlformats.org/officeDocument/2006/relationships/hyperlink" Target="#'1. Datos generales proyecto'!L29"/><Relationship Id="rId7" Type="http://schemas.openxmlformats.org/officeDocument/2006/relationships/hyperlink" Target="#'1. Datos generales proyecto'!L39"/><Relationship Id="rId2" Type="http://schemas.openxmlformats.org/officeDocument/2006/relationships/image" Target="../media/image3.wmf"/><Relationship Id="rId1" Type="http://schemas.openxmlformats.org/officeDocument/2006/relationships/hyperlink" Target="#'Calculadora Absorciones'!U46"/><Relationship Id="rId6" Type="http://schemas.openxmlformats.org/officeDocument/2006/relationships/hyperlink" Target="#'1. Datos generales proyecto'!L37"/><Relationship Id="rId11" Type="http://schemas.openxmlformats.org/officeDocument/2006/relationships/image" Target="../media/image2.png"/><Relationship Id="rId5" Type="http://schemas.openxmlformats.org/officeDocument/2006/relationships/hyperlink" Target="#'1. Datos generales proyecto'!L34"/><Relationship Id="rId10" Type="http://schemas.openxmlformats.org/officeDocument/2006/relationships/image" Target="../media/image1.png"/><Relationship Id="rId4" Type="http://schemas.openxmlformats.org/officeDocument/2006/relationships/hyperlink" Target="#'1. Datos generales proyecto'!L41"/><Relationship Id="rId9" Type="http://schemas.openxmlformats.org/officeDocument/2006/relationships/hyperlink" Target="#'Contenido e instrucciones'!E5"/></Relationships>
</file>

<file path=xl/drawings/_rels/drawing3.xml.rels><?xml version="1.0" encoding="UTF-8" standalone="yes"?>
<Relationships xmlns="http://schemas.openxmlformats.org/package/2006/relationships"><Relationship Id="rId8" Type="http://schemas.openxmlformats.org/officeDocument/2006/relationships/hyperlink" Target="#'2. Estimaci&#243;n absorci&#243;n total'!N51"/><Relationship Id="rId3" Type="http://schemas.openxmlformats.org/officeDocument/2006/relationships/hyperlink" Target="#'2. Estimaci&#243;n absorci&#243;n total'!N24"/><Relationship Id="rId7" Type="http://schemas.openxmlformats.org/officeDocument/2006/relationships/hyperlink" Target="#'2. Estimaci&#243;n absorci&#243;n total'!N48"/><Relationship Id="rId12" Type="http://schemas.openxmlformats.org/officeDocument/2006/relationships/image" Target="../media/image1.png"/><Relationship Id="rId2" Type="http://schemas.openxmlformats.org/officeDocument/2006/relationships/hyperlink" Target="#'1. Datos generales proyecto'!A1"/><Relationship Id="rId1" Type="http://schemas.openxmlformats.org/officeDocument/2006/relationships/hyperlink" Target="#'3. Absorciones disponibles'!A1"/><Relationship Id="rId6" Type="http://schemas.openxmlformats.org/officeDocument/2006/relationships/hyperlink" Target="#'2. Estimaci&#243;n absorci&#243;n total'!N47"/><Relationship Id="rId11" Type="http://schemas.openxmlformats.org/officeDocument/2006/relationships/image" Target="../media/image2.png"/><Relationship Id="rId5" Type="http://schemas.openxmlformats.org/officeDocument/2006/relationships/hyperlink" Target="#'2. Estimaci&#243;n absorci&#243;n total'!N25"/><Relationship Id="rId10" Type="http://schemas.openxmlformats.org/officeDocument/2006/relationships/image" Target="../media/image4.png"/><Relationship Id="rId4" Type="http://schemas.openxmlformats.org/officeDocument/2006/relationships/image" Target="../media/image3.wmf"/><Relationship Id="rId9" Type="http://schemas.openxmlformats.org/officeDocument/2006/relationships/hyperlink" Target="#'2. Estimaci&#243;n absorci&#243;n total'!N52"/></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Estimaci&#243;n absorci&#243;n total'!A1"/><Relationship Id="rId1" Type="http://schemas.openxmlformats.org/officeDocument/2006/relationships/hyperlink" Target="#'4. Factores de absorci&#243;n'!A1"/><Relationship Id="rId5" Type="http://schemas.openxmlformats.org/officeDocument/2006/relationships/image" Target="../media/image1.pn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3. Absorciones_Disponibles'!A1"/><Relationship Id="rId2" Type="http://schemas.openxmlformats.org/officeDocument/2006/relationships/hyperlink" Target="#'Revisiones calculadora '!A1"/><Relationship Id="rId1" Type="http://schemas.openxmlformats.org/officeDocument/2006/relationships/chart" Target="../charts/chart1.xml"/><Relationship Id="rId5" Type="http://schemas.openxmlformats.org/officeDocument/2006/relationships/image" Target="../media/image2.png"/><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Contenido e instrucciones'!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141608</xdr:colOff>
      <xdr:row>3</xdr:row>
      <xdr:rowOff>95250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2513333" cy="866775"/>
        </a:xfrm>
        <a:prstGeom prst="rect">
          <a:avLst/>
        </a:prstGeom>
      </xdr:spPr>
    </xdr:pic>
    <xdr:clientData/>
  </xdr:twoCellAnchor>
  <xdr:twoCellAnchor editAs="oneCell">
    <xdr:from>
      <xdr:col>9</xdr:col>
      <xdr:colOff>1309914</xdr:colOff>
      <xdr:row>0</xdr:row>
      <xdr:rowOff>0</xdr:rowOff>
    </xdr:from>
    <xdr:to>
      <xdr:col>13</xdr:col>
      <xdr:colOff>9525</xdr:colOff>
      <xdr:row>3</xdr:row>
      <xdr:rowOff>109024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282339" y="0"/>
          <a:ext cx="2576286" cy="880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19319</xdr:colOff>
      <xdr:row>87</xdr:row>
      <xdr:rowOff>188923</xdr:rowOff>
    </xdr:from>
    <xdr:to>
      <xdr:col>17</xdr:col>
      <xdr:colOff>102291</xdr:colOff>
      <xdr:row>87</xdr:row>
      <xdr:rowOff>206238</xdr:rowOff>
    </xdr:to>
    <xdr:pic>
      <xdr:nvPicPr>
        <xdr:cNvPr id="8" name="7 Imagen" descr="D:\Documents and Settings\enotario\Configuración local\Temp\Temporary Internet Files\Content.IE5\QQXMQY3R\MC900442072[1].wmf">
          <a:hlinkClick xmlns:r="http://schemas.openxmlformats.org/officeDocument/2006/relationships" r:id="rId1"/>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lum bright="2000" contrast="33000"/>
        </a:blip>
        <a:srcRect/>
        <a:stretch>
          <a:fillRect/>
        </a:stretch>
      </xdr:blipFill>
      <xdr:spPr bwMode="auto">
        <a:xfrm>
          <a:off x="4010294" y="9228148"/>
          <a:ext cx="216322" cy="150665"/>
        </a:xfrm>
        <a:prstGeom prst="rect">
          <a:avLst/>
        </a:prstGeom>
        <a:noFill/>
        <a:effectLst>
          <a:glow>
            <a:schemeClr val="accent1">
              <a:alpha val="40000"/>
            </a:schemeClr>
          </a:glow>
        </a:effectLst>
      </xdr:spPr>
    </xdr:pic>
    <xdr:clientData/>
  </xdr:twoCellAnchor>
  <xdr:twoCellAnchor editAs="oneCell">
    <xdr:from>
      <xdr:col>26</xdr:col>
      <xdr:colOff>57150</xdr:colOff>
      <xdr:row>9</xdr:row>
      <xdr:rowOff>28575</xdr:rowOff>
    </xdr:from>
    <xdr:to>
      <xdr:col>26</xdr:col>
      <xdr:colOff>272112</xdr:colOff>
      <xdr:row>9</xdr:row>
      <xdr:rowOff>179240</xdr:rowOff>
    </xdr:to>
    <xdr:pic>
      <xdr:nvPicPr>
        <xdr:cNvPr id="6" name="5 Imagen" descr="D:\Documents and Settings\enotario\Configuración local\Temp\Temporary Internet Files\Content.IE5\QQXMQY3R\MC900442072[1].wmf">
          <a:hlinkClick xmlns:r="http://schemas.openxmlformats.org/officeDocument/2006/relationships" r:id="rId3"/>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lum bright="2000" contrast="33000"/>
        </a:blip>
        <a:srcRect/>
        <a:stretch>
          <a:fillRect/>
        </a:stretch>
      </xdr:blipFill>
      <xdr:spPr bwMode="auto">
        <a:xfrm>
          <a:off x="10001250" y="1838325"/>
          <a:ext cx="214962" cy="150665"/>
        </a:xfrm>
        <a:prstGeom prst="rect">
          <a:avLst/>
        </a:prstGeom>
        <a:noFill/>
        <a:effectLst>
          <a:glow>
            <a:schemeClr val="accent1">
              <a:alpha val="40000"/>
            </a:schemeClr>
          </a:glow>
        </a:effectLst>
      </xdr:spPr>
    </xdr:pic>
    <xdr:clientData/>
  </xdr:twoCellAnchor>
  <xdr:twoCellAnchor editAs="oneCell">
    <xdr:from>
      <xdr:col>7</xdr:col>
      <xdr:colOff>409575</xdr:colOff>
      <xdr:row>29</xdr:row>
      <xdr:rowOff>19050</xdr:rowOff>
    </xdr:from>
    <xdr:to>
      <xdr:col>7</xdr:col>
      <xdr:colOff>624537</xdr:colOff>
      <xdr:row>29</xdr:row>
      <xdr:rowOff>169715</xdr:rowOff>
    </xdr:to>
    <xdr:pic>
      <xdr:nvPicPr>
        <xdr:cNvPr id="7"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lum bright="2000" contrast="33000"/>
        </a:blip>
        <a:srcRect/>
        <a:stretch>
          <a:fillRect/>
        </a:stretch>
      </xdr:blipFill>
      <xdr:spPr bwMode="auto">
        <a:xfrm>
          <a:off x="3705225" y="5276850"/>
          <a:ext cx="214962" cy="150665"/>
        </a:xfrm>
        <a:prstGeom prst="rect">
          <a:avLst/>
        </a:prstGeom>
        <a:noFill/>
        <a:effectLst>
          <a:glow>
            <a:schemeClr val="accent1">
              <a:alpha val="40000"/>
            </a:schemeClr>
          </a:glow>
        </a:effectLst>
      </xdr:spPr>
    </xdr:pic>
    <xdr:clientData/>
  </xdr:twoCellAnchor>
  <xdr:twoCellAnchor editAs="oneCell">
    <xdr:from>
      <xdr:col>7</xdr:col>
      <xdr:colOff>428625</xdr:colOff>
      <xdr:row>12</xdr:row>
      <xdr:rowOff>28575</xdr:rowOff>
    </xdr:from>
    <xdr:to>
      <xdr:col>7</xdr:col>
      <xdr:colOff>643587</xdr:colOff>
      <xdr:row>12</xdr:row>
      <xdr:rowOff>179240</xdr:rowOff>
    </xdr:to>
    <xdr:pic>
      <xdr:nvPicPr>
        <xdr:cNvPr id="9" name="8 Imagen" descr="D:\Documents and Settings\enotario\Configuración local\Temp\Temporary Internet Files\Content.IE5\QQXMQY3R\MC900442072[1].wmf">
          <a:hlinkClick xmlns:r="http://schemas.openxmlformats.org/officeDocument/2006/relationships" r:id="rId5"/>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lum bright="2000" contrast="33000"/>
        </a:blip>
        <a:srcRect/>
        <a:stretch>
          <a:fillRect/>
        </a:stretch>
      </xdr:blipFill>
      <xdr:spPr bwMode="auto">
        <a:xfrm>
          <a:off x="3724275" y="2476500"/>
          <a:ext cx="214962" cy="150665"/>
        </a:xfrm>
        <a:prstGeom prst="rect">
          <a:avLst/>
        </a:prstGeom>
        <a:noFill/>
        <a:effectLst>
          <a:glow>
            <a:schemeClr val="accent1">
              <a:alpha val="40000"/>
            </a:schemeClr>
          </a:glow>
        </a:effectLst>
      </xdr:spPr>
    </xdr:pic>
    <xdr:clientData/>
  </xdr:twoCellAnchor>
  <xdr:twoCellAnchor editAs="oneCell">
    <xdr:from>
      <xdr:col>12</xdr:col>
      <xdr:colOff>9525</xdr:colOff>
      <xdr:row>12</xdr:row>
      <xdr:rowOff>28575</xdr:rowOff>
    </xdr:from>
    <xdr:to>
      <xdr:col>12</xdr:col>
      <xdr:colOff>224487</xdr:colOff>
      <xdr:row>12</xdr:row>
      <xdr:rowOff>179240</xdr:rowOff>
    </xdr:to>
    <xdr:pic>
      <xdr:nvPicPr>
        <xdr:cNvPr id="10" name="9 Imagen" descr="D:\Documents and Settings\enotario\Configuración local\Temp\Temporary Internet Files\Content.IE5\QQXMQY3R\MC900442072[1].wmf">
          <a:hlinkClick xmlns:r="http://schemas.openxmlformats.org/officeDocument/2006/relationships" r:id="rId6"/>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lum bright="2000" contrast="33000"/>
        </a:blip>
        <a:srcRect/>
        <a:stretch>
          <a:fillRect/>
        </a:stretch>
      </xdr:blipFill>
      <xdr:spPr bwMode="auto">
        <a:xfrm>
          <a:off x="5314950" y="2476500"/>
          <a:ext cx="214962" cy="150665"/>
        </a:xfrm>
        <a:prstGeom prst="rect">
          <a:avLst/>
        </a:prstGeom>
        <a:noFill/>
        <a:effectLst>
          <a:glow>
            <a:schemeClr val="accent1">
              <a:alpha val="40000"/>
            </a:schemeClr>
          </a:glow>
        </a:effectLst>
      </xdr:spPr>
    </xdr:pic>
    <xdr:clientData/>
  </xdr:twoCellAnchor>
  <xdr:twoCellAnchor editAs="oneCell">
    <xdr:from>
      <xdr:col>17</xdr:col>
      <xdr:colOff>95250</xdr:colOff>
      <xdr:row>12</xdr:row>
      <xdr:rowOff>28575</xdr:rowOff>
    </xdr:from>
    <xdr:to>
      <xdr:col>17</xdr:col>
      <xdr:colOff>310212</xdr:colOff>
      <xdr:row>12</xdr:row>
      <xdr:rowOff>179240</xdr:rowOff>
    </xdr:to>
    <xdr:pic>
      <xdr:nvPicPr>
        <xdr:cNvPr id="11" name="10 Imagen" descr="D:\Documents and Settings\enotario\Configuración local\Temp\Temporary Internet Files\Content.IE5\QQXMQY3R\MC900442072[1].wmf">
          <a:hlinkClick xmlns:r="http://schemas.openxmlformats.org/officeDocument/2006/relationships" r:id="rId7"/>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duotone>
            <a:schemeClr val="accent3">
              <a:shade val="45000"/>
              <a:satMod val="135000"/>
            </a:schemeClr>
            <a:prstClr val="white"/>
          </a:duotone>
          <a:lum bright="2000" contrast="33000"/>
        </a:blip>
        <a:srcRect/>
        <a:stretch>
          <a:fillRect/>
        </a:stretch>
      </xdr:blipFill>
      <xdr:spPr bwMode="auto">
        <a:xfrm>
          <a:off x="6877050" y="2466975"/>
          <a:ext cx="214962" cy="150665"/>
        </a:xfrm>
        <a:prstGeom prst="rect">
          <a:avLst/>
        </a:prstGeom>
        <a:noFill/>
        <a:effectLst>
          <a:glow>
            <a:schemeClr val="accent1">
              <a:alpha val="40000"/>
            </a:schemeClr>
          </a:glow>
        </a:effectLst>
      </xdr:spPr>
    </xdr:pic>
    <xdr:clientData/>
  </xdr:twoCellAnchor>
  <xdr:twoCellAnchor>
    <xdr:from>
      <xdr:col>5</xdr:col>
      <xdr:colOff>304800</xdr:colOff>
      <xdr:row>0</xdr:row>
      <xdr:rowOff>95250</xdr:rowOff>
    </xdr:from>
    <xdr:to>
      <xdr:col>5</xdr:col>
      <xdr:colOff>581025</xdr:colOff>
      <xdr:row>1</xdr:row>
      <xdr:rowOff>66675</xdr:rowOff>
    </xdr:to>
    <xdr:sp macro="" textlink="">
      <xdr:nvSpPr>
        <xdr:cNvPr id="2" name="1 Flecha derecha">
          <a:hlinkClick xmlns:r="http://schemas.openxmlformats.org/officeDocument/2006/relationships" r:id="rId8"/>
          <a:extLst>
            <a:ext uri="{FF2B5EF4-FFF2-40B4-BE49-F238E27FC236}">
              <a16:creationId xmlns:a16="http://schemas.microsoft.com/office/drawing/2014/main" id="{00000000-0008-0000-0100-000002000000}"/>
            </a:ext>
          </a:extLst>
        </xdr:cNvPr>
        <xdr:cNvSpPr/>
      </xdr:nvSpPr>
      <xdr:spPr>
        <a:xfrm>
          <a:off x="2105025" y="95250"/>
          <a:ext cx="276225" cy="180975"/>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4</xdr:col>
      <xdr:colOff>514346</xdr:colOff>
      <xdr:row>0</xdr:row>
      <xdr:rowOff>95251</xdr:rowOff>
    </xdr:from>
    <xdr:to>
      <xdr:col>5</xdr:col>
      <xdr:colOff>228599</xdr:colOff>
      <xdr:row>1</xdr:row>
      <xdr:rowOff>76200</xdr:rowOff>
    </xdr:to>
    <xdr:sp macro="" textlink="">
      <xdr:nvSpPr>
        <xdr:cNvPr id="15" name="14 Flecha derecha">
          <a:hlinkClick xmlns:r="http://schemas.openxmlformats.org/officeDocument/2006/relationships" r:id="rId9"/>
          <a:extLst>
            <a:ext uri="{FF2B5EF4-FFF2-40B4-BE49-F238E27FC236}">
              <a16:creationId xmlns:a16="http://schemas.microsoft.com/office/drawing/2014/main" id="{00000000-0008-0000-0100-00000F000000}"/>
            </a:ext>
          </a:extLst>
        </xdr:cNvPr>
        <xdr:cNvSpPr/>
      </xdr:nvSpPr>
      <xdr:spPr>
        <a:xfrm flipH="1">
          <a:off x="1762121" y="95251"/>
          <a:ext cx="266703" cy="190499"/>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0</xdr:col>
      <xdr:colOff>0</xdr:colOff>
      <xdr:row>0</xdr:row>
      <xdr:rowOff>0</xdr:rowOff>
    </xdr:from>
    <xdr:to>
      <xdr:col>4</xdr:col>
      <xdr:colOff>492223</xdr:colOff>
      <xdr:row>1</xdr:row>
      <xdr:rowOff>390525</xdr:rowOff>
    </xdr:to>
    <xdr:pic>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0"/>
        <a:stretch>
          <a:fillRect/>
        </a:stretch>
      </xdr:blipFill>
      <xdr:spPr>
        <a:xfrm>
          <a:off x="0" y="0"/>
          <a:ext cx="1739998" cy="600075"/>
        </a:xfrm>
        <a:prstGeom prst="rect">
          <a:avLst/>
        </a:prstGeom>
      </xdr:spPr>
    </xdr:pic>
    <xdr:clientData/>
  </xdr:twoCellAnchor>
  <xdr:twoCellAnchor editAs="oneCell">
    <xdr:from>
      <xdr:col>24</xdr:col>
      <xdr:colOff>400050</xdr:colOff>
      <xdr:row>0</xdr:row>
      <xdr:rowOff>0</xdr:rowOff>
    </xdr:from>
    <xdr:to>
      <xdr:col>29</xdr:col>
      <xdr:colOff>9525</xdr:colOff>
      <xdr:row>1</xdr:row>
      <xdr:rowOff>395776</xdr:rowOff>
    </xdr:to>
    <xdr:pic>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1"/>
        <a:stretch>
          <a:fillRect/>
        </a:stretch>
      </xdr:blipFill>
      <xdr:spPr>
        <a:xfrm>
          <a:off x="9991725" y="0"/>
          <a:ext cx="1752600" cy="605326"/>
        </a:xfrm>
        <a:prstGeom prst="rect">
          <a:avLst/>
        </a:prstGeom>
      </xdr:spPr>
    </xdr:pic>
    <xdr:clientData/>
  </xdr:twoCellAnchor>
  <xdr:twoCellAnchor editAs="oneCell">
    <xdr:from>
      <xdr:col>7</xdr:col>
      <xdr:colOff>609600</xdr:colOff>
      <xdr:row>10</xdr:row>
      <xdr:rowOff>257175</xdr:rowOff>
    </xdr:from>
    <xdr:to>
      <xdr:col>8</xdr:col>
      <xdr:colOff>142875</xdr:colOff>
      <xdr:row>10</xdr:row>
      <xdr:rowOff>409575</xdr:rowOff>
    </xdr:to>
    <xdr:sp macro="" textlink="">
      <xdr:nvSpPr>
        <xdr:cNvPr id="2052" name="AutoShape 4">
          <a:extLst>
            <a:ext uri="{FF2B5EF4-FFF2-40B4-BE49-F238E27FC236}">
              <a16:creationId xmlns:a16="http://schemas.microsoft.com/office/drawing/2014/main" id="{00000000-0008-0000-0100-000004080000}"/>
            </a:ext>
          </a:extLst>
        </xdr:cNvPr>
        <xdr:cNvSpPr>
          <a:spLocks noChangeAspect="1" noChangeArrowheads="1"/>
        </xdr:cNvSpPr>
      </xdr:nvSpPr>
      <xdr:spPr bwMode="auto">
        <a:xfrm>
          <a:off x="3724275" y="2476500"/>
          <a:ext cx="219075"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609600</xdr:colOff>
      <xdr:row>10</xdr:row>
      <xdr:rowOff>257175</xdr:rowOff>
    </xdr:from>
    <xdr:to>
      <xdr:col>8</xdr:col>
      <xdr:colOff>142875</xdr:colOff>
      <xdr:row>10</xdr:row>
      <xdr:rowOff>409575</xdr:rowOff>
    </xdr:to>
    <xdr:sp macro="" textlink="">
      <xdr:nvSpPr>
        <xdr:cNvPr id="2061" name="AutoShape 13">
          <a:extLst>
            <a:ext uri="{FF2B5EF4-FFF2-40B4-BE49-F238E27FC236}">
              <a16:creationId xmlns:a16="http://schemas.microsoft.com/office/drawing/2014/main" id="{00000000-0008-0000-0100-00000D080000}"/>
            </a:ext>
          </a:extLst>
        </xdr:cNvPr>
        <xdr:cNvSpPr>
          <a:spLocks noChangeAspect="1" noChangeArrowheads="1"/>
        </xdr:cNvSpPr>
      </xdr:nvSpPr>
      <xdr:spPr bwMode="auto">
        <a:xfrm>
          <a:off x="3724275" y="2476500"/>
          <a:ext cx="219075"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1238254</xdr:colOff>
      <xdr:row>0</xdr:row>
      <xdr:rowOff>95250</xdr:rowOff>
    </xdr:from>
    <xdr:to>
      <xdr:col>3</xdr:col>
      <xdr:colOff>1514479</xdr:colOff>
      <xdr:row>1</xdr:row>
      <xdr:rowOff>85725</xdr:rowOff>
    </xdr:to>
    <xdr:sp macro="" textlink="">
      <xdr:nvSpPr>
        <xdr:cNvPr id="4" name="3 Flecha derecha">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2114554" y="95250"/>
          <a:ext cx="276225" cy="180975"/>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3</xdr:col>
      <xdr:colOff>895350</xdr:colOff>
      <xdr:row>0</xdr:row>
      <xdr:rowOff>95251</xdr:rowOff>
    </xdr:from>
    <xdr:to>
      <xdr:col>3</xdr:col>
      <xdr:colOff>1162053</xdr:colOff>
      <xdr:row>1</xdr:row>
      <xdr:rowOff>95250</xdr:rowOff>
    </xdr:to>
    <xdr:sp macro="" textlink="">
      <xdr:nvSpPr>
        <xdr:cNvPr id="5" name="4 Flecha derecha">
          <a:hlinkClick xmlns:r="http://schemas.openxmlformats.org/officeDocument/2006/relationships" r:id="rId2"/>
          <a:extLst>
            <a:ext uri="{FF2B5EF4-FFF2-40B4-BE49-F238E27FC236}">
              <a16:creationId xmlns:a16="http://schemas.microsoft.com/office/drawing/2014/main" id="{00000000-0008-0000-0200-000005000000}"/>
            </a:ext>
          </a:extLst>
        </xdr:cNvPr>
        <xdr:cNvSpPr/>
      </xdr:nvSpPr>
      <xdr:spPr>
        <a:xfrm flipH="1">
          <a:off x="1771650" y="95251"/>
          <a:ext cx="266703" cy="190499"/>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4</xdr:col>
      <xdr:colOff>247650</xdr:colOff>
      <xdr:row>18</xdr:row>
      <xdr:rowOff>123825</xdr:rowOff>
    </xdr:from>
    <xdr:to>
      <xdr:col>4</xdr:col>
      <xdr:colOff>462612</xdr:colOff>
      <xdr:row>18</xdr:row>
      <xdr:rowOff>274490</xdr:rowOff>
    </xdr:to>
    <xdr:pic>
      <xdr:nvPicPr>
        <xdr:cNvPr id="8" name="7 Imagen" descr="D:\Documents and Settings\enotario\Configuración local\Temp\Temporary Internet Files\Content.IE5\QQXMQY3R\MC900442072[1].wmf">
          <a:hlinkClick xmlns:r="http://schemas.openxmlformats.org/officeDocument/2006/relationships" r:id="rId3"/>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duotone>
            <a:schemeClr val="accent3">
              <a:shade val="45000"/>
              <a:satMod val="135000"/>
            </a:schemeClr>
            <a:prstClr val="white"/>
          </a:duotone>
          <a:lum bright="2000" contrast="33000"/>
        </a:blip>
        <a:srcRect/>
        <a:stretch>
          <a:fillRect/>
        </a:stretch>
      </xdr:blipFill>
      <xdr:spPr bwMode="auto">
        <a:xfrm>
          <a:off x="3362325" y="3752850"/>
          <a:ext cx="214962" cy="150665"/>
        </a:xfrm>
        <a:prstGeom prst="rect">
          <a:avLst/>
        </a:prstGeom>
        <a:noFill/>
        <a:effectLst>
          <a:glow>
            <a:schemeClr val="accent1">
              <a:alpha val="40000"/>
            </a:schemeClr>
          </a:glow>
        </a:effectLst>
      </xdr:spPr>
    </xdr:pic>
    <xdr:clientData/>
  </xdr:twoCellAnchor>
  <xdr:twoCellAnchor editAs="oneCell">
    <xdr:from>
      <xdr:col>5</xdr:col>
      <xdr:colOff>219075</xdr:colOff>
      <xdr:row>18</xdr:row>
      <xdr:rowOff>190500</xdr:rowOff>
    </xdr:from>
    <xdr:to>
      <xdr:col>5</xdr:col>
      <xdr:colOff>434037</xdr:colOff>
      <xdr:row>18</xdr:row>
      <xdr:rowOff>341165</xdr:rowOff>
    </xdr:to>
    <xdr:pic>
      <xdr:nvPicPr>
        <xdr:cNvPr id="9" name="8 Imagen" descr="D:\Documents and Settings\enotario\Configuración local\Temp\Temporary Internet Files\Content.IE5\QQXMQY3R\MC900442072[1].wmf">
          <a:hlinkClick xmlns:r="http://schemas.openxmlformats.org/officeDocument/2006/relationships" r:id="rId5"/>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4">
          <a:duotone>
            <a:schemeClr val="accent3">
              <a:shade val="45000"/>
              <a:satMod val="135000"/>
            </a:schemeClr>
            <a:prstClr val="white"/>
          </a:duotone>
          <a:lum bright="2000" contrast="33000"/>
        </a:blip>
        <a:srcRect/>
        <a:stretch>
          <a:fillRect/>
        </a:stretch>
      </xdr:blipFill>
      <xdr:spPr bwMode="auto">
        <a:xfrm>
          <a:off x="3981450" y="3819525"/>
          <a:ext cx="214962" cy="150665"/>
        </a:xfrm>
        <a:prstGeom prst="rect">
          <a:avLst/>
        </a:prstGeom>
        <a:noFill/>
        <a:effectLst>
          <a:glow>
            <a:schemeClr val="accent1">
              <a:alpha val="40000"/>
            </a:schemeClr>
          </a:glow>
        </a:effectLst>
      </xdr:spPr>
    </xdr:pic>
    <xdr:clientData/>
  </xdr:twoCellAnchor>
  <xdr:twoCellAnchor editAs="oneCell">
    <xdr:from>
      <xdr:col>4</xdr:col>
      <xdr:colOff>209550</xdr:colOff>
      <xdr:row>41</xdr:row>
      <xdr:rowOff>142875</xdr:rowOff>
    </xdr:from>
    <xdr:to>
      <xdr:col>4</xdr:col>
      <xdr:colOff>424512</xdr:colOff>
      <xdr:row>41</xdr:row>
      <xdr:rowOff>293540</xdr:rowOff>
    </xdr:to>
    <xdr:pic>
      <xdr:nvPicPr>
        <xdr:cNvPr id="10" name="9 Imagen" descr="D:\Documents and Settings\enotario\Configuración local\Temp\Temporary Internet Files\Content.IE5\QQXMQY3R\MC900442072[1].wmf">
          <a:hlinkClick xmlns:r="http://schemas.openxmlformats.org/officeDocument/2006/relationships" r:id="rId6"/>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4">
          <a:duotone>
            <a:schemeClr val="accent3">
              <a:shade val="45000"/>
              <a:satMod val="135000"/>
            </a:schemeClr>
            <a:prstClr val="white"/>
          </a:duotone>
          <a:lum bright="2000" contrast="33000"/>
        </a:blip>
        <a:srcRect/>
        <a:stretch>
          <a:fillRect/>
        </a:stretch>
      </xdr:blipFill>
      <xdr:spPr bwMode="auto">
        <a:xfrm>
          <a:off x="3324225" y="8191500"/>
          <a:ext cx="214962" cy="150665"/>
        </a:xfrm>
        <a:prstGeom prst="rect">
          <a:avLst/>
        </a:prstGeom>
        <a:noFill/>
        <a:effectLst>
          <a:glow>
            <a:schemeClr val="accent1">
              <a:alpha val="40000"/>
            </a:schemeClr>
          </a:glow>
        </a:effectLst>
      </xdr:spPr>
    </xdr:pic>
    <xdr:clientData/>
  </xdr:twoCellAnchor>
  <xdr:twoCellAnchor editAs="oneCell">
    <xdr:from>
      <xdr:col>5</xdr:col>
      <xdr:colOff>209550</xdr:colOff>
      <xdr:row>41</xdr:row>
      <xdr:rowOff>190500</xdr:rowOff>
    </xdr:from>
    <xdr:to>
      <xdr:col>5</xdr:col>
      <xdr:colOff>424512</xdr:colOff>
      <xdr:row>41</xdr:row>
      <xdr:rowOff>341165</xdr:rowOff>
    </xdr:to>
    <xdr:pic>
      <xdr:nvPicPr>
        <xdr:cNvPr id="11" name="10 Imagen" descr="D:\Documents and Settings\enotario\Configuración local\Temp\Temporary Internet Files\Content.IE5\QQXMQY3R\MC900442072[1].wmf">
          <a:hlinkClick xmlns:r="http://schemas.openxmlformats.org/officeDocument/2006/relationships" r:id="rId7"/>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a:duotone>
            <a:schemeClr val="accent3">
              <a:shade val="45000"/>
              <a:satMod val="135000"/>
            </a:schemeClr>
            <a:prstClr val="white"/>
          </a:duotone>
          <a:lum bright="2000" contrast="33000"/>
        </a:blip>
        <a:srcRect/>
        <a:stretch>
          <a:fillRect/>
        </a:stretch>
      </xdr:blipFill>
      <xdr:spPr bwMode="auto">
        <a:xfrm>
          <a:off x="3971925" y="8239125"/>
          <a:ext cx="214962" cy="150665"/>
        </a:xfrm>
        <a:prstGeom prst="rect">
          <a:avLst/>
        </a:prstGeom>
        <a:noFill/>
        <a:effectLst>
          <a:glow>
            <a:schemeClr val="accent1">
              <a:alpha val="40000"/>
            </a:schemeClr>
          </a:glow>
        </a:effectLst>
      </xdr:spPr>
    </xdr:pic>
    <xdr:clientData/>
  </xdr:twoCellAnchor>
  <xdr:twoCellAnchor editAs="oneCell">
    <xdr:from>
      <xdr:col>6</xdr:col>
      <xdr:colOff>247650</xdr:colOff>
      <xdr:row>41</xdr:row>
      <xdr:rowOff>190500</xdr:rowOff>
    </xdr:from>
    <xdr:to>
      <xdr:col>6</xdr:col>
      <xdr:colOff>462612</xdr:colOff>
      <xdr:row>41</xdr:row>
      <xdr:rowOff>341165</xdr:rowOff>
    </xdr:to>
    <xdr:pic>
      <xdr:nvPicPr>
        <xdr:cNvPr id="12" name="11 Imagen" descr="D:\Documents and Settings\enotario\Configuración local\Temp\Temporary Internet Files\Content.IE5\QQXMQY3R\MC900442072[1].wmf">
          <a:hlinkClick xmlns:r="http://schemas.openxmlformats.org/officeDocument/2006/relationships" r:id="rId8"/>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a:duotone>
            <a:schemeClr val="accent3">
              <a:shade val="45000"/>
              <a:satMod val="135000"/>
            </a:schemeClr>
            <a:prstClr val="white"/>
          </a:duotone>
          <a:lum bright="2000" contrast="33000"/>
        </a:blip>
        <a:srcRect/>
        <a:stretch>
          <a:fillRect/>
        </a:stretch>
      </xdr:blipFill>
      <xdr:spPr bwMode="auto">
        <a:xfrm>
          <a:off x="4619625" y="8239125"/>
          <a:ext cx="214962" cy="150665"/>
        </a:xfrm>
        <a:prstGeom prst="rect">
          <a:avLst/>
        </a:prstGeom>
        <a:noFill/>
        <a:effectLst>
          <a:glow>
            <a:schemeClr val="accent1">
              <a:alpha val="40000"/>
            </a:schemeClr>
          </a:glow>
        </a:effectLst>
      </xdr:spPr>
    </xdr:pic>
    <xdr:clientData/>
  </xdr:twoCellAnchor>
  <xdr:twoCellAnchor editAs="oneCell">
    <xdr:from>
      <xdr:col>7</xdr:col>
      <xdr:colOff>266700</xdr:colOff>
      <xdr:row>41</xdr:row>
      <xdr:rowOff>200025</xdr:rowOff>
    </xdr:from>
    <xdr:to>
      <xdr:col>7</xdr:col>
      <xdr:colOff>481662</xdr:colOff>
      <xdr:row>41</xdr:row>
      <xdr:rowOff>350690</xdr:rowOff>
    </xdr:to>
    <xdr:pic>
      <xdr:nvPicPr>
        <xdr:cNvPr id="13" name="12 Imagen" descr="D:\Documents and Settings\enotario\Configuración local\Temp\Temporary Internet Files\Content.IE5\QQXMQY3R\MC900442072[1].wmf">
          <a:hlinkClick xmlns:r="http://schemas.openxmlformats.org/officeDocument/2006/relationships" r:id="rId9"/>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a:duotone>
            <a:schemeClr val="accent3">
              <a:shade val="45000"/>
              <a:satMod val="135000"/>
            </a:schemeClr>
            <a:prstClr val="white"/>
          </a:duotone>
          <a:lum bright="2000" contrast="33000"/>
        </a:blip>
        <a:srcRect/>
        <a:stretch>
          <a:fillRect/>
        </a:stretch>
      </xdr:blipFill>
      <xdr:spPr bwMode="auto">
        <a:xfrm>
          <a:off x="5353050" y="8248650"/>
          <a:ext cx="214962" cy="150665"/>
        </a:xfrm>
        <a:prstGeom prst="rect">
          <a:avLst/>
        </a:prstGeom>
        <a:noFill/>
        <a:effectLst>
          <a:glow>
            <a:schemeClr val="accent1">
              <a:alpha val="40000"/>
            </a:schemeClr>
          </a:glow>
        </a:effectLst>
      </xdr:spPr>
    </xdr:pic>
    <xdr:clientData/>
  </xdr:twoCellAnchor>
  <xdr:twoCellAnchor editAs="oneCell">
    <xdr:from>
      <xdr:col>8</xdr:col>
      <xdr:colOff>704850</xdr:colOff>
      <xdr:row>58</xdr:row>
      <xdr:rowOff>9525</xdr:rowOff>
    </xdr:from>
    <xdr:to>
      <xdr:col>20</xdr:col>
      <xdr:colOff>9525</xdr:colOff>
      <xdr:row>69</xdr:row>
      <xdr:rowOff>180975</xdr:rowOff>
    </xdr:to>
    <xdr:pic>
      <xdr:nvPicPr>
        <xdr:cNvPr id="3059404" name="Picture 3">
          <a:extLst>
            <a:ext uri="{FF2B5EF4-FFF2-40B4-BE49-F238E27FC236}">
              <a16:creationId xmlns:a16="http://schemas.microsoft.com/office/drawing/2014/main" id="{00000000-0008-0000-0200-0000CCAE2E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22421" t="31934" r="3516" b="19238"/>
        <a:stretch>
          <a:fillRect/>
        </a:stretch>
      </xdr:blipFill>
      <xdr:spPr bwMode="auto">
        <a:xfrm>
          <a:off x="6657975" y="12658725"/>
          <a:ext cx="5257800" cy="2476500"/>
        </a:xfrm>
        <a:prstGeom prst="rect">
          <a:avLst/>
        </a:prstGeom>
        <a:noFill/>
        <a:ln w="19050">
          <a:solidFill>
            <a:srgbClr val="10069F"/>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285750</xdr:colOff>
      <xdr:row>0</xdr:row>
      <xdr:rowOff>0</xdr:rowOff>
    </xdr:from>
    <xdr:to>
      <xdr:col>19</xdr:col>
      <xdr:colOff>942975</xdr:colOff>
      <xdr:row>1</xdr:row>
      <xdr:rowOff>414826</xdr:rowOff>
    </xdr:to>
    <xdr:pic>
      <xdr:nvPicPr>
        <xdr:cNvPr id="16" name="Imagen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1"/>
        <a:stretch>
          <a:fillRect/>
        </a:stretch>
      </xdr:blipFill>
      <xdr:spPr>
        <a:xfrm>
          <a:off x="10144125" y="0"/>
          <a:ext cx="1752600" cy="605326"/>
        </a:xfrm>
        <a:prstGeom prst="rect">
          <a:avLst/>
        </a:prstGeom>
      </xdr:spPr>
    </xdr:pic>
    <xdr:clientData/>
  </xdr:twoCellAnchor>
  <xdr:twoCellAnchor editAs="oneCell">
    <xdr:from>
      <xdr:col>0</xdr:col>
      <xdr:colOff>0</xdr:colOff>
      <xdr:row>0</xdr:row>
      <xdr:rowOff>0</xdr:rowOff>
    </xdr:from>
    <xdr:to>
      <xdr:col>3</xdr:col>
      <xdr:colOff>876300</xdr:colOff>
      <xdr:row>1</xdr:row>
      <xdr:rowOff>413921</xdr:rowOff>
    </xdr:to>
    <xdr:pic>
      <xdr:nvPicPr>
        <xdr:cNvPr id="15" name="Imagen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2"/>
        <a:stretch>
          <a:fillRect/>
        </a:stretch>
      </xdr:blipFill>
      <xdr:spPr>
        <a:xfrm>
          <a:off x="0" y="0"/>
          <a:ext cx="1752600" cy="6044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352429</xdr:colOff>
      <xdr:row>0</xdr:row>
      <xdr:rowOff>95251</xdr:rowOff>
    </xdr:from>
    <xdr:to>
      <xdr:col>8</xdr:col>
      <xdr:colOff>647700</xdr:colOff>
      <xdr:row>1</xdr:row>
      <xdr:rowOff>57151</xdr:rowOff>
    </xdr:to>
    <xdr:sp macro="" textlink="">
      <xdr:nvSpPr>
        <xdr:cNvPr id="4" name="3 Flecha derecha">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2076454" y="95251"/>
          <a:ext cx="295271" cy="171450"/>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8</xdr:col>
      <xdr:colOff>0</xdr:colOff>
      <xdr:row>0</xdr:row>
      <xdr:rowOff>95251</xdr:rowOff>
    </xdr:from>
    <xdr:to>
      <xdr:col>8</xdr:col>
      <xdr:colOff>276228</xdr:colOff>
      <xdr:row>1</xdr:row>
      <xdr:rowOff>76200</xdr:rowOff>
    </xdr:to>
    <xdr:sp macro="" textlink="">
      <xdr:nvSpPr>
        <xdr:cNvPr id="5" name="4 Flecha derecha">
          <a:hlinkClick xmlns:r="http://schemas.openxmlformats.org/officeDocument/2006/relationships" r:id="rId2"/>
          <a:extLst>
            <a:ext uri="{FF2B5EF4-FFF2-40B4-BE49-F238E27FC236}">
              <a16:creationId xmlns:a16="http://schemas.microsoft.com/office/drawing/2014/main" id="{00000000-0008-0000-0300-000005000000}"/>
            </a:ext>
          </a:extLst>
        </xdr:cNvPr>
        <xdr:cNvSpPr/>
      </xdr:nvSpPr>
      <xdr:spPr>
        <a:xfrm flipH="1">
          <a:off x="1724025" y="95251"/>
          <a:ext cx="276228" cy="190499"/>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16</xdr:col>
      <xdr:colOff>142875</xdr:colOff>
      <xdr:row>64</xdr:row>
      <xdr:rowOff>0</xdr:rowOff>
    </xdr:from>
    <xdr:to>
      <xdr:col>25</xdr:col>
      <xdr:colOff>295275</xdr:colOff>
      <xdr:row>75</xdr:row>
      <xdr:rowOff>0</xdr:rowOff>
    </xdr:to>
    <xdr:pic>
      <xdr:nvPicPr>
        <xdr:cNvPr id="2687981" name="31 Imagen">
          <a:extLst>
            <a:ext uri="{FF2B5EF4-FFF2-40B4-BE49-F238E27FC236}">
              <a16:creationId xmlns:a16="http://schemas.microsoft.com/office/drawing/2014/main" id="{00000000-0008-0000-0300-0000ED032900}"/>
            </a:ext>
          </a:extLst>
        </xdr:cNvPr>
        <xdr:cNvPicPr>
          <a:picLocks noChangeAspect="1"/>
        </xdr:cNvPicPr>
      </xdr:nvPicPr>
      <xdr:blipFill>
        <a:blip xmlns:r="http://schemas.openxmlformats.org/officeDocument/2006/relationships" r:embed="rId3">
          <a:duotone>
            <a:prstClr val="black"/>
            <a:schemeClr val="accent1">
              <a:tint val="45000"/>
              <a:satMod val="400000"/>
            </a:schemeClr>
          </a:duotone>
          <a:extLst>
            <a:ext uri="{28A0092B-C50C-407E-A947-70E740481C1C}">
              <a14:useLocalDpi xmlns:a14="http://schemas.microsoft.com/office/drawing/2010/main" val="0"/>
            </a:ext>
          </a:extLst>
        </a:blip>
        <a:srcRect/>
        <a:stretch>
          <a:fillRect/>
        </a:stretch>
      </xdr:blipFill>
      <xdr:spPr bwMode="auto">
        <a:xfrm>
          <a:off x="6334125" y="4162425"/>
          <a:ext cx="5067300"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247650</xdr:colOff>
      <xdr:row>0</xdr:row>
      <xdr:rowOff>0</xdr:rowOff>
    </xdr:from>
    <xdr:to>
      <xdr:col>29</xdr:col>
      <xdr:colOff>0</xdr:colOff>
      <xdr:row>2</xdr:row>
      <xdr:rowOff>14776</xdr:rowOff>
    </xdr:to>
    <xdr:pic>
      <xdr:nvPicPr>
        <xdr:cNvPr id="7" name="Imagen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4"/>
        <a:stretch>
          <a:fillRect/>
        </a:stretch>
      </xdr:blipFill>
      <xdr:spPr>
        <a:xfrm>
          <a:off x="12496800" y="0"/>
          <a:ext cx="1752600" cy="605326"/>
        </a:xfrm>
        <a:prstGeom prst="rect">
          <a:avLst/>
        </a:prstGeom>
      </xdr:spPr>
    </xdr:pic>
    <xdr:clientData/>
  </xdr:twoCellAnchor>
  <xdr:twoCellAnchor editAs="oneCell">
    <xdr:from>
      <xdr:col>0</xdr:col>
      <xdr:colOff>0</xdr:colOff>
      <xdr:row>0</xdr:row>
      <xdr:rowOff>0</xdr:rowOff>
    </xdr:from>
    <xdr:to>
      <xdr:col>7</xdr:col>
      <xdr:colOff>47625</xdr:colOff>
      <xdr:row>2</xdr:row>
      <xdr:rowOff>13871</xdr:rowOff>
    </xdr:to>
    <xdr:pic>
      <xdr:nvPicPr>
        <xdr:cNvPr id="8" name="Imagen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5"/>
        <a:stretch>
          <a:fillRect/>
        </a:stretch>
      </xdr:blipFill>
      <xdr:spPr>
        <a:xfrm>
          <a:off x="0" y="0"/>
          <a:ext cx="1752600" cy="6044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133350</xdr:colOff>
      <xdr:row>3</xdr:row>
      <xdr:rowOff>9525</xdr:rowOff>
    </xdr:from>
    <xdr:to>
      <xdr:col>15</xdr:col>
      <xdr:colOff>581025</xdr:colOff>
      <xdr:row>94</xdr:row>
      <xdr:rowOff>180975</xdr:rowOff>
    </xdr:to>
    <xdr:graphicFrame macro="">
      <xdr:nvGraphicFramePr>
        <xdr:cNvPr id="3148903" name="2 Gráfico">
          <a:extLst>
            <a:ext uri="{FF2B5EF4-FFF2-40B4-BE49-F238E27FC236}">
              <a16:creationId xmlns:a16="http://schemas.microsoft.com/office/drawing/2014/main" id="{00000000-0008-0000-0400-0000670C3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1704979</xdr:colOff>
      <xdr:row>0</xdr:row>
      <xdr:rowOff>95250</xdr:rowOff>
    </xdr:from>
    <xdr:to>
      <xdr:col>2</xdr:col>
      <xdr:colOff>1981204</xdr:colOff>
      <xdr:row>1</xdr:row>
      <xdr:rowOff>76200</xdr:rowOff>
    </xdr:to>
    <xdr:sp macro="" textlink="">
      <xdr:nvSpPr>
        <xdr:cNvPr id="8" name="7 Flecha derecha">
          <a:hlinkClick xmlns:r="http://schemas.openxmlformats.org/officeDocument/2006/relationships" r:id="rId2"/>
          <a:extLst>
            <a:ext uri="{FF2B5EF4-FFF2-40B4-BE49-F238E27FC236}">
              <a16:creationId xmlns:a16="http://schemas.microsoft.com/office/drawing/2014/main" id="{00000000-0008-0000-0400-000008000000}"/>
            </a:ext>
          </a:extLst>
        </xdr:cNvPr>
        <xdr:cNvSpPr/>
      </xdr:nvSpPr>
      <xdr:spPr>
        <a:xfrm>
          <a:off x="2143129" y="95250"/>
          <a:ext cx="276225" cy="180975"/>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xdr:col>
      <xdr:colOff>1362075</xdr:colOff>
      <xdr:row>0</xdr:row>
      <xdr:rowOff>95251</xdr:rowOff>
    </xdr:from>
    <xdr:to>
      <xdr:col>2</xdr:col>
      <xdr:colOff>1628778</xdr:colOff>
      <xdr:row>1</xdr:row>
      <xdr:rowOff>85725</xdr:rowOff>
    </xdr:to>
    <xdr:sp macro="" textlink="">
      <xdr:nvSpPr>
        <xdr:cNvPr id="9" name="8 Flecha derecha">
          <a:hlinkClick xmlns:r="http://schemas.openxmlformats.org/officeDocument/2006/relationships" r:id="rId3"/>
          <a:extLst>
            <a:ext uri="{FF2B5EF4-FFF2-40B4-BE49-F238E27FC236}">
              <a16:creationId xmlns:a16="http://schemas.microsoft.com/office/drawing/2014/main" id="{00000000-0008-0000-0400-000009000000}"/>
            </a:ext>
          </a:extLst>
        </xdr:cNvPr>
        <xdr:cNvSpPr/>
      </xdr:nvSpPr>
      <xdr:spPr>
        <a:xfrm flipH="1">
          <a:off x="1800225" y="95251"/>
          <a:ext cx="266703" cy="190499"/>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0</xdr:col>
      <xdr:colOff>0</xdr:colOff>
      <xdr:row>0</xdr:row>
      <xdr:rowOff>0</xdr:rowOff>
    </xdr:from>
    <xdr:to>
      <xdr:col>2</xdr:col>
      <xdr:colOff>1200150</xdr:colOff>
      <xdr:row>2</xdr:row>
      <xdr:rowOff>4346</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a:off x="0" y="0"/>
          <a:ext cx="1752600" cy="604421"/>
        </a:xfrm>
        <a:prstGeom prst="rect">
          <a:avLst/>
        </a:prstGeom>
      </xdr:spPr>
    </xdr:pic>
    <xdr:clientData/>
  </xdr:twoCellAnchor>
  <xdr:twoCellAnchor editAs="oneCell">
    <xdr:from>
      <xdr:col>13</xdr:col>
      <xdr:colOff>419100</xdr:colOff>
      <xdr:row>0</xdr:row>
      <xdr:rowOff>0</xdr:rowOff>
    </xdr:from>
    <xdr:to>
      <xdr:col>17</xdr:col>
      <xdr:colOff>9525</xdr:colOff>
      <xdr:row>2</xdr:row>
      <xdr:rowOff>5251</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stretch>
          <a:fillRect/>
        </a:stretch>
      </xdr:blipFill>
      <xdr:spPr>
        <a:xfrm>
          <a:off x="10334625" y="0"/>
          <a:ext cx="1752600" cy="6053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266700</xdr:colOff>
      <xdr:row>0</xdr:row>
      <xdr:rowOff>123826</xdr:rowOff>
    </xdr:from>
    <xdr:to>
      <xdr:col>2</xdr:col>
      <xdr:colOff>533403</xdr:colOff>
      <xdr:row>0</xdr:row>
      <xdr:rowOff>314325</xdr:rowOff>
    </xdr:to>
    <xdr:sp macro="" textlink="">
      <xdr:nvSpPr>
        <xdr:cNvPr id="5" name="4 Flecha derecha">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790700" y="123826"/>
          <a:ext cx="266703" cy="190499"/>
        </a:xfrm>
        <a:prstGeom prst="rightArrow">
          <a:avLst/>
        </a:prstGeom>
        <a:solidFill>
          <a:srgbClr val="10069F"/>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0</xdr:col>
      <xdr:colOff>0</xdr:colOff>
      <xdr:row>0</xdr:row>
      <xdr:rowOff>0</xdr:rowOff>
    </xdr:from>
    <xdr:to>
      <xdr:col>2</xdr:col>
      <xdr:colOff>228600</xdr:colOff>
      <xdr:row>0</xdr:row>
      <xdr:rowOff>604421</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stretch>
          <a:fillRect/>
        </a:stretch>
      </xdr:blipFill>
      <xdr:spPr>
        <a:xfrm>
          <a:off x="0" y="0"/>
          <a:ext cx="1752600" cy="604421"/>
        </a:xfrm>
        <a:prstGeom prst="rect">
          <a:avLst/>
        </a:prstGeom>
      </xdr:spPr>
    </xdr:pic>
    <xdr:clientData/>
  </xdr:twoCellAnchor>
  <xdr:twoCellAnchor editAs="oneCell">
    <xdr:from>
      <xdr:col>13</xdr:col>
      <xdr:colOff>209550</xdr:colOff>
      <xdr:row>0</xdr:row>
      <xdr:rowOff>0</xdr:rowOff>
    </xdr:from>
    <xdr:to>
      <xdr:col>15</xdr:col>
      <xdr:colOff>0</xdr:colOff>
      <xdr:row>0</xdr:row>
      <xdr:rowOff>605326</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stretch>
          <a:fillRect/>
        </a:stretch>
      </xdr:blipFill>
      <xdr:spPr>
        <a:xfrm>
          <a:off x="10553700" y="0"/>
          <a:ext cx="1752600" cy="6053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54</xdr:row>
      <xdr:rowOff>95250</xdr:rowOff>
    </xdr:from>
    <xdr:to>
      <xdr:col>9</xdr:col>
      <xdr:colOff>76200</xdr:colOff>
      <xdr:row>60</xdr:row>
      <xdr:rowOff>171450</xdr:rowOff>
    </xdr:to>
    <xdr:sp macro="" textlink="">
      <xdr:nvSpPr>
        <xdr:cNvPr id="2" name="1 Rectángulo">
          <a:extLst>
            <a:ext uri="{FF2B5EF4-FFF2-40B4-BE49-F238E27FC236}">
              <a16:creationId xmlns:a16="http://schemas.microsoft.com/office/drawing/2014/main" id="{00000000-0008-0000-0D00-000002000000}"/>
            </a:ext>
          </a:extLst>
        </xdr:cNvPr>
        <xdr:cNvSpPr/>
      </xdr:nvSpPr>
      <xdr:spPr>
        <a:xfrm>
          <a:off x="0" y="10610850"/>
          <a:ext cx="7429500" cy="1504950"/>
        </a:xfrm>
        <a:prstGeom prst="rect">
          <a:avLst/>
        </a:prstGeom>
        <a:solidFill>
          <a:schemeClr val="accent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lculadora%20CO2_Ministerio/Calculadora_absorciones_Astu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e instrucciones"/>
      <sheetName val="1. Datos generales proyecto"/>
      <sheetName val="2. Estimación absorción total"/>
      <sheetName val="3. Absorciones_Disponibles"/>
      <sheetName val="4. Factores de absorción"/>
      <sheetName val="Revisiones calculadora "/>
      <sheetName val="Datos"/>
      <sheetName val="Fuentes"/>
      <sheetName val="Calculadora Abs"/>
      <sheetName val="Total especies y métodos"/>
      <sheetName val="201 IFN3_D-t IFN1"/>
      <sheetName val="Tabla 7"/>
      <sheetName val="Tabla 7_Asturias"/>
      <sheetName val="Ec_W_Asturias"/>
      <sheetName val="Montero 2014"/>
      <sheetName val="Comparativa Montero - IPCC"/>
      <sheetName val="Alt_diám tablas producc_Asturia"/>
      <sheetName val="Alt_diám tablas producc"/>
      <sheetName val="Q.ilex_Q.suber y Larix"/>
      <sheetName val="Descartes"/>
      <sheetName val="Asimilaciones"/>
      <sheetName val="Selección final metodología"/>
      <sheetName val="Todas metodologí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B2">
            <v>0.22804054532011345</v>
          </cell>
        </row>
        <row r="3">
          <cell r="B3">
            <v>1.5489841521071678E-2</v>
          </cell>
        </row>
        <row r="4">
          <cell r="B4">
            <v>2.3871095636996648E-2</v>
          </cell>
        </row>
      </sheetData>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GR701"/>
  <sheetViews>
    <sheetView showGridLines="0" showRowColHeaders="0" topLeftCell="A16" workbookViewId="0">
      <selection activeCell="P10" sqref="P10"/>
    </sheetView>
  </sheetViews>
  <sheetFormatPr baseColWidth="10" defaultColWidth="11.42578125" defaultRowHeight="16.5" x14ac:dyDescent="0.3"/>
  <cols>
    <col min="1" max="1" width="13.5703125" style="233" customWidth="1"/>
    <col min="2" max="3" width="3.42578125" style="233" customWidth="1"/>
    <col min="4" max="4" width="3.7109375" style="233" customWidth="1"/>
    <col min="5" max="5" width="11.42578125" style="233"/>
    <col min="6" max="6" width="32.85546875" style="233" customWidth="1"/>
    <col min="7" max="7" width="36" style="233" customWidth="1"/>
    <col min="8" max="8" width="3.7109375" style="233" customWidth="1"/>
    <col min="9" max="9" width="11.42578125" style="233"/>
    <col min="10" max="10" width="21.140625" style="233" customWidth="1"/>
    <col min="11" max="11" width="11.85546875" style="233" customWidth="1"/>
    <col min="12" max="12" width="6.140625" style="233" customWidth="1"/>
    <col min="13" max="13" width="19" style="233" customWidth="1"/>
    <col min="14" max="14" width="3.7109375" style="233" customWidth="1"/>
    <col min="15" max="16384" width="11.42578125" style="233"/>
  </cols>
  <sheetData>
    <row r="1" spans="1:200" x14ac:dyDescent="0.3">
      <c r="A1" s="349"/>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349"/>
      <c r="BW1" s="349"/>
      <c r="BX1" s="349"/>
      <c r="BY1" s="349"/>
      <c r="BZ1" s="349"/>
      <c r="CA1" s="349"/>
      <c r="CB1" s="349"/>
      <c r="CC1" s="349"/>
      <c r="CD1" s="349"/>
      <c r="CE1" s="349"/>
      <c r="CF1" s="349"/>
      <c r="CG1" s="349"/>
      <c r="CH1" s="349"/>
      <c r="CI1" s="349"/>
      <c r="CJ1" s="349"/>
      <c r="CK1" s="349"/>
      <c r="CL1" s="349"/>
      <c r="CM1" s="349"/>
      <c r="CN1" s="349"/>
      <c r="CO1" s="349"/>
      <c r="CP1" s="349"/>
      <c r="CQ1" s="349"/>
      <c r="CR1" s="349"/>
      <c r="CS1" s="349"/>
      <c r="CT1" s="349"/>
      <c r="CU1" s="349"/>
      <c r="CV1" s="349"/>
      <c r="CW1" s="349"/>
      <c r="CX1" s="349"/>
      <c r="CY1" s="349"/>
      <c r="CZ1" s="349"/>
      <c r="DA1" s="349"/>
      <c r="DB1" s="349"/>
      <c r="DC1" s="349"/>
      <c r="DD1" s="349"/>
      <c r="DE1" s="349"/>
      <c r="DF1" s="349"/>
      <c r="DG1" s="349"/>
      <c r="DH1" s="349"/>
      <c r="DI1" s="349"/>
      <c r="DJ1" s="349"/>
      <c r="DK1" s="349"/>
      <c r="DL1" s="349"/>
      <c r="DM1" s="349"/>
      <c r="DN1" s="349"/>
      <c r="DO1" s="349"/>
      <c r="DP1" s="349"/>
      <c r="DQ1" s="349"/>
      <c r="DR1" s="349"/>
      <c r="DS1" s="349"/>
      <c r="DT1" s="349"/>
      <c r="DU1" s="349"/>
      <c r="DV1" s="349"/>
      <c r="DW1" s="349"/>
      <c r="DX1" s="349"/>
      <c r="DY1" s="349"/>
      <c r="DZ1" s="349"/>
      <c r="EA1" s="349"/>
      <c r="EB1" s="349"/>
      <c r="EC1" s="349"/>
      <c r="ED1" s="349"/>
      <c r="EE1" s="349"/>
      <c r="EF1" s="349"/>
      <c r="EG1" s="349"/>
      <c r="EH1" s="349"/>
      <c r="EI1" s="349"/>
      <c r="EJ1" s="349"/>
      <c r="EK1" s="349"/>
      <c r="EL1" s="349"/>
      <c r="EM1" s="349"/>
      <c r="EN1" s="349"/>
      <c r="EO1" s="349"/>
      <c r="EP1" s="349"/>
      <c r="EQ1" s="349"/>
      <c r="ER1" s="349"/>
      <c r="ES1" s="349"/>
      <c r="ET1" s="349"/>
      <c r="EU1" s="349"/>
      <c r="EV1" s="349"/>
      <c r="EW1" s="349"/>
      <c r="EX1" s="349"/>
      <c r="EY1" s="349"/>
      <c r="EZ1" s="349"/>
      <c r="FA1" s="349"/>
      <c r="FB1" s="349"/>
      <c r="FC1" s="349"/>
      <c r="FD1" s="349"/>
      <c r="FE1" s="349"/>
      <c r="FF1" s="349"/>
      <c r="FG1" s="349"/>
      <c r="FH1" s="349"/>
      <c r="FI1" s="349"/>
      <c r="FJ1" s="349"/>
      <c r="FK1" s="349"/>
      <c r="FL1" s="349"/>
      <c r="FM1" s="349"/>
      <c r="FN1" s="349"/>
      <c r="FO1" s="349"/>
      <c r="FP1" s="349"/>
      <c r="FQ1" s="349"/>
      <c r="FR1" s="349"/>
      <c r="FS1" s="349"/>
      <c r="FT1" s="349"/>
      <c r="FU1" s="349"/>
      <c r="FV1" s="349"/>
      <c r="FW1" s="349"/>
      <c r="FX1" s="349"/>
      <c r="FY1" s="349"/>
      <c r="FZ1" s="349"/>
      <c r="GA1" s="349"/>
      <c r="GB1" s="349"/>
      <c r="GC1" s="349"/>
      <c r="GD1" s="349"/>
      <c r="GE1" s="349"/>
      <c r="GF1" s="349"/>
      <c r="GG1" s="349"/>
      <c r="GH1" s="349"/>
      <c r="GI1" s="349"/>
      <c r="GJ1" s="349"/>
      <c r="GK1" s="349"/>
      <c r="GL1" s="349"/>
      <c r="GM1" s="349"/>
      <c r="GN1" s="349"/>
      <c r="GO1" s="349"/>
      <c r="GP1" s="349"/>
      <c r="GQ1" s="349"/>
      <c r="GR1" s="349"/>
    </row>
    <row r="2" spans="1:200" ht="21.75" customHeight="1" x14ac:dyDescent="0.3">
      <c r="A2" s="349"/>
      <c r="B2" s="349"/>
      <c r="C2" s="349"/>
      <c r="D2" s="349"/>
      <c r="E2" s="349"/>
      <c r="F2" s="349"/>
      <c r="G2" s="350"/>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349"/>
      <c r="BC2" s="349"/>
      <c r="BD2" s="349"/>
      <c r="BE2" s="349"/>
      <c r="BF2" s="349"/>
      <c r="BG2" s="349"/>
      <c r="BH2" s="349"/>
      <c r="BI2" s="349"/>
      <c r="BJ2" s="349"/>
      <c r="BK2" s="349"/>
      <c r="BL2" s="349"/>
      <c r="BM2" s="349"/>
      <c r="BN2" s="349"/>
      <c r="BO2" s="349"/>
      <c r="BP2" s="349"/>
      <c r="BQ2" s="349"/>
      <c r="BR2" s="349"/>
      <c r="BS2" s="349"/>
      <c r="BT2" s="349"/>
      <c r="BU2" s="349"/>
      <c r="BV2" s="349"/>
      <c r="BW2" s="349"/>
      <c r="BX2" s="349"/>
      <c r="BY2" s="349"/>
      <c r="BZ2" s="349"/>
      <c r="CA2" s="349"/>
      <c r="CB2" s="349"/>
      <c r="CC2" s="349"/>
      <c r="CD2" s="349"/>
      <c r="CE2" s="349"/>
      <c r="CF2" s="349"/>
      <c r="CG2" s="349"/>
      <c r="CH2" s="349"/>
      <c r="CI2" s="349"/>
      <c r="CJ2" s="349"/>
      <c r="CK2" s="349"/>
      <c r="CL2" s="349"/>
      <c r="CM2" s="349"/>
      <c r="CN2" s="349"/>
      <c r="CO2" s="349"/>
      <c r="CP2" s="349"/>
      <c r="CQ2" s="349"/>
      <c r="CR2" s="349"/>
      <c r="CS2" s="349"/>
      <c r="CT2" s="349"/>
      <c r="CU2" s="349"/>
      <c r="CV2" s="349"/>
      <c r="CW2" s="349"/>
      <c r="CX2" s="349"/>
      <c r="CY2" s="349"/>
      <c r="CZ2" s="349"/>
      <c r="DA2" s="349"/>
      <c r="DB2" s="349"/>
      <c r="DC2" s="349"/>
      <c r="DD2" s="349"/>
      <c r="DE2" s="349"/>
      <c r="DF2" s="349"/>
      <c r="DG2" s="349"/>
      <c r="DH2" s="349"/>
      <c r="DI2" s="349"/>
      <c r="DJ2" s="349"/>
      <c r="DK2" s="349"/>
      <c r="DL2" s="349"/>
      <c r="DM2" s="349"/>
      <c r="DN2" s="349"/>
      <c r="DO2" s="349"/>
      <c r="DP2" s="349"/>
      <c r="DQ2" s="349"/>
      <c r="DR2" s="349"/>
      <c r="DS2" s="349"/>
      <c r="DT2" s="349"/>
      <c r="DU2" s="349"/>
      <c r="DV2" s="349"/>
      <c r="DW2" s="349"/>
      <c r="DX2" s="349"/>
      <c r="DY2" s="349"/>
      <c r="DZ2" s="349"/>
      <c r="EA2" s="349"/>
      <c r="EB2" s="349"/>
      <c r="EC2" s="349"/>
      <c r="ED2" s="349"/>
      <c r="EE2" s="349"/>
      <c r="EF2" s="349"/>
      <c r="EG2" s="349"/>
      <c r="EH2" s="349"/>
      <c r="EI2" s="349"/>
      <c r="EJ2" s="349"/>
      <c r="EK2" s="349"/>
      <c r="EL2" s="349"/>
      <c r="EM2" s="349"/>
      <c r="EN2" s="349"/>
      <c r="EO2" s="349"/>
      <c r="EP2" s="349"/>
      <c r="EQ2" s="349"/>
      <c r="ER2" s="349"/>
      <c r="ES2" s="349"/>
      <c r="ET2" s="349"/>
      <c r="EU2" s="349"/>
      <c r="EV2" s="349"/>
      <c r="EW2" s="349"/>
      <c r="EX2" s="349"/>
      <c r="EY2" s="349"/>
      <c r="EZ2" s="349"/>
      <c r="FA2" s="349"/>
      <c r="FB2" s="349"/>
      <c r="FC2" s="349"/>
      <c r="FD2" s="349"/>
      <c r="FE2" s="349"/>
      <c r="FF2" s="349"/>
      <c r="FG2" s="349"/>
      <c r="FH2" s="349"/>
      <c r="FI2" s="349"/>
      <c r="FJ2" s="349"/>
      <c r="FK2" s="349"/>
      <c r="FL2" s="349"/>
      <c r="FM2" s="349"/>
      <c r="FN2" s="349"/>
      <c r="FO2" s="349"/>
      <c r="FP2" s="349"/>
      <c r="FQ2" s="349"/>
      <c r="FR2" s="349"/>
      <c r="FS2" s="349"/>
      <c r="FT2" s="349"/>
      <c r="FU2" s="349"/>
      <c r="FV2" s="349"/>
      <c r="FW2" s="349"/>
      <c r="FX2" s="349"/>
      <c r="FY2" s="349"/>
      <c r="FZ2" s="349"/>
      <c r="GA2" s="349"/>
      <c r="GB2" s="349"/>
      <c r="GC2" s="349"/>
      <c r="GD2" s="349"/>
      <c r="GE2" s="349"/>
      <c r="GF2" s="349"/>
      <c r="GG2" s="349"/>
      <c r="GH2" s="349"/>
      <c r="GI2" s="349"/>
      <c r="GJ2" s="349"/>
      <c r="GK2" s="349"/>
      <c r="GL2" s="349"/>
      <c r="GM2" s="349"/>
      <c r="GN2" s="349"/>
      <c r="GO2" s="349"/>
      <c r="GP2" s="349"/>
      <c r="GQ2" s="349"/>
      <c r="GR2" s="349"/>
    </row>
    <row r="3" spans="1:200" s="234" customFormat="1" ht="22.5" customHeight="1" x14ac:dyDescent="0.3">
      <c r="A3" s="349"/>
      <c r="B3" s="349"/>
      <c r="C3" s="349"/>
      <c r="D3" s="349"/>
      <c r="E3" s="349"/>
      <c r="F3" s="349"/>
      <c r="G3" s="349"/>
      <c r="H3" s="349"/>
      <c r="I3" s="349"/>
      <c r="J3" s="349"/>
      <c r="K3" s="349"/>
      <c r="L3" s="349"/>
      <c r="M3" s="349"/>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c r="AU3" s="351"/>
      <c r="AV3" s="351"/>
      <c r="AW3" s="351"/>
      <c r="AX3" s="351"/>
      <c r="AY3" s="351"/>
      <c r="AZ3" s="351"/>
      <c r="BA3" s="351"/>
      <c r="BB3" s="351"/>
      <c r="BC3" s="351"/>
      <c r="BD3" s="351"/>
      <c r="BE3" s="351"/>
      <c r="BF3" s="351"/>
      <c r="BG3" s="351"/>
      <c r="BH3" s="351"/>
      <c r="BI3" s="351"/>
      <c r="BJ3" s="351"/>
      <c r="BK3" s="351"/>
      <c r="BL3" s="351"/>
      <c r="BM3" s="351"/>
      <c r="BN3" s="351"/>
      <c r="BO3" s="351"/>
      <c r="BP3" s="351"/>
      <c r="BQ3" s="351"/>
      <c r="BR3" s="351"/>
      <c r="BS3" s="351"/>
      <c r="BT3" s="351"/>
      <c r="BU3" s="351"/>
      <c r="BV3" s="351"/>
      <c r="BW3" s="351"/>
      <c r="BX3" s="351"/>
      <c r="BY3" s="351"/>
      <c r="BZ3" s="351"/>
      <c r="CA3" s="351"/>
      <c r="CB3" s="351"/>
      <c r="CC3" s="351"/>
      <c r="CD3" s="351"/>
      <c r="CE3" s="351"/>
      <c r="CF3" s="351"/>
      <c r="CG3" s="351"/>
      <c r="CH3" s="351"/>
      <c r="CI3" s="351"/>
      <c r="CJ3" s="351"/>
      <c r="CK3" s="351"/>
      <c r="CL3" s="351"/>
      <c r="CM3" s="351"/>
      <c r="CN3" s="351"/>
      <c r="CO3" s="351"/>
      <c r="CP3" s="351"/>
      <c r="CQ3" s="351"/>
      <c r="CR3" s="351"/>
      <c r="CS3" s="351"/>
      <c r="CT3" s="351"/>
      <c r="CU3" s="351"/>
      <c r="CV3" s="351"/>
      <c r="CW3" s="351"/>
      <c r="CX3" s="351"/>
      <c r="CY3" s="351"/>
      <c r="CZ3" s="351"/>
      <c r="DA3" s="351"/>
      <c r="DB3" s="351"/>
      <c r="DC3" s="351"/>
      <c r="DD3" s="351"/>
      <c r="DE3" s="351"/>
      <c r="DF3" s="351"/>
      <c r="DG3" s="351"/>
      <c r="DH3" s="351"/>
      <c r="DI3" s="351"/>
      <c r="DJ3" s="351"/>
      <c r="DK3" s="351"/>
      <c r="DL3" s="351"/>
      <c r="DM3" s="351"/>
      <c r="DN3" s="351"/>
      <c r="DO3" s="351"/>
      <c r="DP3" s="351"/>
      <c r="DQ3" s="351"/>
      <c r="DR3" s="351"/>
      <c r="DS3" s="351"/>
      <c r="DT3" s="351"/>
      <c r="DU3" s="351"/>
      <c r="DV3" s="351"/>
      <c r="DW3" s="351"/>
      <c r="DX3" s="351"/>
      <c r="DY3" s="351"/>
      <c r="DZ3" s="351"/>
      <c r="EA3" s="351"/>
      <c r="EB3" s="351"/>
      <c r="EC3" s="351"/>
      <c r="ED3" s="351"/>
      <c r="EE3" s="351"/>
      <c r="EF3" s="351"/>
      <c r="EG3" s="351"/>
      <c r="EH3" s="351"/>
      <c r="EI3" s="351"/>
      <c r="EJ3" s="351"/>
      <c r="EK3" s="351"/>
      <c r="EL3" s="351"/>
      <c r="EM3" s="351"/>
      <c r="EN3" s="351"/>
      <c r="EO3" s="351"/>
      <c r="EP3" s="351"/>
      <c r="EQ3" s="351"/>
      <c r="ER3" s="351"/>
      <c r="ES3" s="351"/>
      <c r="ET3" s="351"/>
      <c r="EU3" s="351"/>
      <c r="EV3" s="351"/>
      <c r="EW3" s="351"/>
      <c r="EX3" s="351"/>
      <c r="EY3" s="351"/>
      <c r="EZ3" s="351"/>
      <c r="FA3" s="351"/>
      <c r="FB3" s="351"/>
      <c r="FC3" s="351"/>
      <c r="FD3" s="351"/>
      <c r="FE3" s="351"/>
      <c r="FF3" s="351"/>
      <c r="FG3" s="351"/>
      <c r="FH3" s="351"/>
      <c r="FI3" s="351"/>
      <c r="FJ3" s="351"/>
      <c r="FK3" s="351"/>
      <c r="FL3" s="351"/>
      <c r="FM3" s="351"/>
      <c r="FN3" s="351"/>
      <c r="FO3" s="351"/>
      <c r="FP3" s="351"/>
      <c r="FQ3" s="351"/>
      <c r="FR3" s="351"/>
      <c r="FS3" s="351"/>
      <c r="FT3" s="351"/>
      <c r="FU3" s="351"/>
      <c r="FV3" s="351"/>
      <c r="FW3" s="351"/>
      <c r="FX3" s="351"/>
      <c r="FY3" s="351"/>
      <c r="FZ3" s="351"/>
      <c r="GA3" s="351"/>
      <c r="GB3" s="351"/>
      <c r="GC3" s="351"/>
      <c r="GD3" s="351"/>
      <c r="GE3" s="351"/>
      <c r="GF3" s="351"/>
      <c r="GG3" s="351"/>
      <c r="GH3" s="351"/>
      <c r="GI3" s="351"/>
      <c r="GJ3" s="351"/>
      <c r="GK3" s="351"/>
      <c r="GL3" s="351"/>
      <c r="GM3" s="351"/>
      <c r="GN3" s="351"/>
      <c r="GO3" s="351"/>
      <c r="GP3" s="351"/>
      <c r="GQ3" s="351"/>
      <c r="GR3" s="351"/>
    </row>
    <row r="4" spans="1:200" s="234" customFormat="1" ht="22.5" customHeight="1" x14ac:dyDescent="0.3">
      <c r="A4" s="349"/>
      <c r="B4" s="349"/>
      <c r="C4" s="349"/>
      <c r="D4" s="349"/>
      <c r="E4" s="349"/>
      <c r="F4" s="349"/>
      <c r="G4" s="349"/>
      <c r="H4" s="349"/>
      <c r="I4" s="349"/>
      <c r="J4" s="349"/>
      <c r="K4" s="349"/>
      <c r="L4" s="349"/>
      <c r="M4" s="349"/>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c r="AU4" s="351"/>
      <c r="AV4" s="351"/>
      <c r="AW4" s="351"/>
      <c r="AX4" s="351"/>
      <c r="AY4" s="351"/>
      <c r="AZ4" s="351"/>
      <c r="BA4" s="351"/>
      <c r="BB4" s="351"/>
      <c r="BC4" s="351"/>
      <c r="BD4" s="351"/>
      <c r="BE4" s="351"/>
      <c r="BF4" s="351"/>
      <c r="BG4" s="351"/>
      <c r="BH4" s="351"/>
      <c r="BI4" s="351"/>
      <c r="BJ4" s="351"/>
      <c r="BK4" s="351"/>
      <c r="BL4" s="351"/>
      <c r="BM4" s="351"/>
      <c r="BN4" s="351"/>
      <c r="BO4" s="351"/>
      <c r="BP4" s="351"/>
      <c r="BQ4" s="351"/>
      <c r="BR4" s="351"/>
      <c r="BS4" s="351"/>
      <c r="BT4" s="351"/>
      <c r="BU4" s="351"/>
      <c r="BV4" s="351"/>
      <c r="BW4" s="351"/>
      <c r="BX4" s="351"/>
      <c r="BY4" s="351"/>
      <c r="BZ4" s="351"/>
      <c r="CA4" s="351"/>
      <c r="CB4" s="351"/>
      <c r="CC4" s="351"/>
      <c r="CD4" s="351"/>
      <c r="CE4" s="351"/>
      <c r="CF4" s="351"/>
      <c r="CG4" s="351"/>
      <c r="CH4" s="351"/>
      <c r="CI4" s="351"/>
      <c r="CJ4" s="351"/>
      <c r="CK4" s="351"/>
      <c r="CL4" s="351"/>
      <c r="CM4" s="351"/>
      <c r="CN4" s="351"/>
      <c r="CO4" s="351"/>
      <c r="CP4" s="351"/>
      <c r="CQ4" s="351"/>
      <c r="CR4" s="351"/>
      <c r="CS4" s="351"/>
      <c r="CT4" s="351"/>
      <c r="CU4" s="351"/>
      <c r="CV4" s="351"/>
      <c r="CW4" s="351"/>
      <c r="CX4" s="351"/>
      <c r="CY4" s="351"/>
      <c r="CZ4" s="351"/>
      <c r="DA4" s="351"/>
      <c r="DB4" s="351"/>
      <c r="DC4" s="351"/>
      <c r="DD4" s="351"/>
      <c r="DE4" s="351"/>
      <c r="DF4" s="351"/>
      <c r="DG4" s="351"/>
      <c r="DH4" s="351"/>
      <c r="DI4" s="351"/>
      <c r="DJ4" s="351"/>
      <c r="DK4" s="351"/>
      <c r="DL4" s="351"/>
      <c r="DM4" s="351"/>
      <c r="DN4" s="351"/>
      <c r="DO4" s="351"/>
      <c r="DP4" s="351"/>
      <c r="DQ4" s="351"/>
      <c r="DR4" s="351"/>
      <c r="DS4" s="351"/>
      <c r="DT4" s="351"/>
      <c r="DU4" s="351"/>
      <c r="DV4" s="351"/>
      <c r="DW4" s="351"/>
      <c r="DX4" s="351"/>
      <c r="DY4" s="351"/>
      <c r="DZ4" s="351"/>
      <c r="EA4" s="351"/>
      <c r="EB4" s="351"/>
      <c r="EC4" s="351"/>
      <c r="ED4" s="351"/>
      <c r="EE4" s="351"/>
      <c r="EF4" s="351"/>
      <c r="EG4" s="351"/>
      <c r="EH4" s="351"/>
      <c r="EI4" s="351"/>
      <c r="EJ4" s="351"/>
      <c r="EK4" s="351"/>
      <c r="EL4" s="351"/>
      <c r="EM4" s="351"/>
      <c r="EN4" s="351"/>
      <c r="EO4" s="351"/>
      <c r="EP4" s="351"/>
      <c r="EQ4" s="351"/>
      <c r="ER4" s="351"/>
      <c r="ES4" s="351"/>
      <c r="ET4" s="351"/>
      <c r="EU4" s="351"/>
      <c r="EV4" s="351"/>
      <c r="EW4" s="351"/>
      <c r="EX4" s="351"/>
      <c r="EY4" s="351"/>
      <c r="EZ4" s="351"/>
      <c r="FA4" s="351"/>
      <c r="FB4" s="351"/>
      <c r="FC4" s="351"/>
      <c r="FD4" s="351"/>
      <c r="FE4" s="351"/>
      <c r="FF4" s="351"/>
      <c r="FG4" s="351"/>
      <c r="FH4" s="351"/>
      <c r="FI4" s="351"/>
      <c r="FJ4" s="351"/>
      <c r="FK4" s="351"/>
      <c r="FL4" s="351"/>
      <c r="FM4" s="351"/>
      <c r="FN4" s="351"/>
      <c r="FO4" s="351"/>
      <c r="FP4" s="351"/>
      <c r="FQ4" s="351"/>
      <c r="FR4" s="351"/>
      <c r="FS4" s="351"/>
      <c r="FT4" s="351"/>
      <c r="FU4" s="351"/>
      <c r="FV4" s="351"/>
      <c r="FW4" s="351"/>
      <c r="FX4" s="351"/>
      <c r="FY4" s="351"/>
      <c r="FZ4" s="351"/>
      <c r="GA4" s="351"/>
      <c r="GB4" s="351"/>
      <c r="GC4" s="351"/>
      <c r="GD4" s="351"/>
      <c r="GE4" s="351"/>
      <c r="GF4" s="351"/>
      <c r="GG4" s="351"/>
      <c r="GH4" s="351"/>
      <c r="GI4" s="351"/>
      <c r="GJ4" s="351"/>
      <c r="GK4" s="351"/>
      <c r="GL4" s="351"/>
      <c r="GM4" s="351"/>
      <c r="GN4" s="351"/>
      <c r="GO4" s="351"/>
      <c r="GP4" s="351"/>
      <c r="GQ4" s="351"/>
      <c r="GR4" s="351"/>
    </row>
    <row r="5" spans="1:200" ht="22.5" customHeight="1" x14ac:dyDescent="0.3">
      <c r="A5" s="349"/>
      <c r="B5" s="349"/>
      <c r="C5" s="349"/>
      <c r="D5" s="349"/>
      <c r="E5" s="532" t="s">
        <v>624</v>
      </c>
      <c r="F5" s="532"/>
      <c r="G5" s="532"/>
      <c r="H5" s="532"/>
      <c r="I5" s="532"/>
      <c r="J5" s="532"/>
      <c r="K5" s="532"/>
      <c r="L5" s="352"/>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49"/>
      <c r="AO5" s="349"/>
      <c r="AP5" s="349"/>
      <c r="AQ5" s="349"/>
      <c r="AR5" s="349"/>
      <c r="AS5" s="349"/>
      <c r="AT5" s="349"/>
      <c r="AU5" s="349"/>
      <c r="AV5" s="349"/>
      <c r="AW5" s="349"/>
      <c r="AX5" s="349"/>
      <c r="AY5" s="349"/>
      <c r="AZ5" s="349"/>
      <c r="BA5" s="349"/>
      <c r="BB5" s="349"/>
      <c r="BC5" s="349"/>
      <c r="BD5" s="349"/>
      <c r="BE5" s="349"/>
      <c r="BF5" s="349"/>
      <c r="BG5" s="349"/>
      <c r="BH5" s="349"/>
      <c r="BI5" s="349"/>
      <c r="BJ5" s="349"/>
      <c r="BK5" s="349"/>
      <c r="BL5" s="349"/>
      <c r="BM5" s="349"/>
      <c r="BN5" s="349"/>
      <c r="BO5" s="349"/>
      <c r="BP5" s="349"/>
      <c r="BQ5" s="349"/>
      <c r="BR5" s="349"/>
      <c r="BS5" s="349"/>
      <c r="BT5" s="349"/>
      <c r="BU5" s="349"/>
      <c r="BV5" s="349"/>
      <c r="BW5" s="349"/>
      <c r="BX5" s="349"/>
      <c r="BY5" s="349"/>
      <c r="BZ5" s="349"/>
      <c r="CA5" s="349"/>
      <c r="CB5" s="349"/>
      <c r="CC5" s="349"/>
      <c r="CD5" s="349"/>
      <c r="CE5" s="349"/>
      <c r="CF5" s="349"/>
      <c r="CG5" s="349"/>
      <c r="CH5" s="349"/>
      <c r="CI5" s="349"/>
      <c r="CJ5" s="349"/>
      <c r="CK5" s="349"/>
      <c r="CL5" s="349"/>
      <c r="CM5" s="349"/>
      <c r="CN5" s="349"/>
      <c r="CO5" s="349"/>
      <c r="CP5" s="349"/>
      <c r="CQ5" s="349"/>
      <c r="CR5" s="349"/>
      <c r="CS5" s="349"/>
      <c r="CT5" s="349"/>
      <c r="CU5" s="349"/>
      <c r="CV5" s="349"/>
      <c r="CW5" s="349"/>
      <c r="CX5" s="349"/>
      <c r="CY5" s="349"/>
      <c r="CZ5" s="349"/>
      <c r="DA5" s="349"/>
      <c r="DB5" s="349"/>
      <c r="DC5" s="349"/>
      <c r="DD5" s="349"/>
      <c r="DE5" s="349"/>
      <c r="DF5" s="349"/>
      <c r="DG5" s="349"/>
      <c r="DH5" s="349"/>
      <c r="DI5" s="349"/>
      <c r="DJ5" s="349"/>
      <c r="DK5" s="349"/>
      <c r="DL5" s="349"/>
      <c r="DM5" s="349"/>
      <c r="DN5" s="349"/>
      <c r="DO5" s="349"/>
      <c r="DP5" s="349"/>
      <c r="DQ5" s="349"/>
      <c r="DR5" s="349"/>
      <c r="DS5" s="349"/>
      <c r="DT5" s="349"/>
      <c r="DU5" s="349"/>
      <c r="DV5" s="349"/>
      <c r="DW5" s="349"/>
      <c r="DX5" s="349"/>
      <c r="DY5" s="349"/>
      <c r="DZ5" s="349"/>
      <c r="EA5" s="349"/>
      <c r="EB5" s="349"/>
      <c r="EC5" s="349"/>
      <c r="ED5" s="349"/>
      <c r="EE5" s="349"/>
      <c r="EF5" s="349"/>
      <c r="EG5" s="349"/>
      <c r="EH5" s="349"/>
      <c r="EI5" s="349"/>
      <c r="EJ5" s="349"/>
      <c r="EK5" s="349"/>
      <c r="EL5" s="349"/>
      <c r="EM5" s="349"/>
      <c r="EN5" s="349"/>
      <c r="EO5" s="349"/>
      <c r="EP5" s="349"/>
      <c r="EQ5" s="349"/>
      <c r="ER5" s="349"/>
      <c r="ES5" s="349"/>
      <c r="ET5" s="349"/>
      <c r="EU5" s="349"/>
      <c r="EV5" s="349"/>
      <c r="EW5" s="349"/>
      <c r="EX5" s="349"/>
      <c r="EY5" s="349"/>
      <c r="EZ5" s="349"/>
      <c r="FA5" s="349"/>
      <c r="FB5" s="349"/>
      <c r="FC5" s="349"/>
      <c r="FD5" s="349"/>
      <c r="FE5" s="349"/>
      <c r="FF5" s="349"/>
      <c r="FG5" s="349"/>
      <c r="FH5" s="349"/>
      <c r="FI5" s="349"/>
      <c r="FJ5" s="349"/>
      <c r="FK5" s="349"/>
      <c r="FL5" s="349"/>
      <c r="FM5" s="349"/>
      <c r="FN5" s="349"/>
      <c r="FO5" s="349"/>
      <c r="FP5" s="349"/>
      <c r="FQ5" s="349"/>
      <c r="FR5" s="349"/>
      <c r="FS5" s="349"/>
      <c r="FT5" s="349"/>
      <c r="FU5" s="349"/>
      <c r="FV5" s="349"/>
      <c r="FW5" s="349"/>
      <c r="FX5" s="349"/>
      <c r="FY5" s="349"/>
      <c r="FZ5" s="349"/>
      <c r="GA5" s="349"/>
      <c r="GB5" s="349"/>
      <c r="GC5" s="349"/>
      <c r="GD5" s="349"/>
      <c r="GE5" s="349"/>
      <c r="GF5" s="349"/>
      <c r="GG5" s="349"/>
      <c r="GH5" s="349"/>
      <c r="GI5" s="349"/>
      <c r="GJ5" s="349"/>
      <c r="GK5" s="349"/>
      <c r="GL5" s="349"/>
      <c r="GM5" s="349"/>
      <c r="GN5" s="349"/>
      <c r="GO5" s="349"/>
      <c r="GP5" s="349"/>
      <c r="GQ5" s="349"/>
      <c r="GR5" s="349"/>
    </row>
    <row r="6" spans="1:200" ht="16.5" customHeight="1" x14ac:dyDescent="0.3">
      <c r="A6" s="349"/>
      <c r="B6" s="349"/>
      <c r="C6" s="349"/>
      <c r="D6" s="349"/>
      <c r="E6" s="532"/>
      <c r="F6" s="532"/>
      <c r="G6" s="532"/>
      <c r="H6" s="532"/>
      <c r="I6" s="532"/>
      <c r="J6" s="532"/>
      <c r="K6" s="532"/>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349"/>
      <c r="BO6" s="349"/>
      <c r="BP6" s="349"/>
      <c r="BQ6" s="349"/>
      <c r="BR6" s="349"/>
      <c r="BS6" s="349"/>
      <c r="BT6" s="349"/>
      <c r="BU6" s="349"/>
      <c r="BV6" s="349"/>
      <c r="BW6" s="349"/>
      <c r="BX6" s="349"/>
      <c r="BY6" s="349"/>
      <c r="BZ6" s="349"/>
      <c r="CA6" s="349"/>
      <c r="CB6" s="349"/>
      <c r="CC6" s="349"/>
      <c r="CD6" s="349"/>
      <c r="CE6" s="349"/>
      <c r="CF6" s="349"/>
      <c r="CG6" s="349"/>
      <c r="CH6" s="349"/>
      <c r="CI6" s="349"/>
      <c r="CJ6" s="349"/>
      <c r="CK6" s="349"/>
      <c r="CL6" s="349"/>
      <c r="CM6" s="349"/>
      <c r="CN6" s="349"/>
      <c r="CO6" s="349"/>
      <c r="CP6" s="349"/>
      <c r="CQ6" s="349"/>
      <c r="CR6" s="349"/>
      <c r="CS6" s="349"/>
      <c r="CT6" s="349"/>
      <c r="CU6" s="349"/>
      <c r="CV6" s="349"/>
      <c r="CW6" s="349"/>
      <c r="CX6" s="349"/>
      <c r="CY6" s="349"/>
      <c r="CZ6" s="349"/>
      <c r="DA6" s="349"/>
      <c r="DB6" s="349"/>
      <c r="DC6" s="349"/>
      <c r="DD6" s="349"/>
      <c r="DE6" s="349"/>
      <c r="DF6" s="349"/>
      <c r="DG6" s="349"/>
      <c r="DH6" s="349"/>
      <c r="DI6" s="349"/>
      <c r="DJ6" s="349"/>
      <c r="DK6" s="349"/>
      <c r="DL6" s="349"/>
      <c r="DM6" s="349"/>
      <c r="DN6" s="349"/>
      <c r="DO6" s="349"/>
      <c r="DP6" s="349"/>
      <c r="DQ6" s="349"/>
      <c r="DR6" s="349"/>
      <c r="DS6" s="349"/>
      <c r="DT6" s="349"/>
      <c r="DU6" s="349"/>
      <c r="DV6" s="349"/>
      <c r="DW6" s="349"/>
      <c r="DX6" s="349"/>
      <c r="DY6" s="349"/>
      <c r="DZ6" s="349"/>
      <c r="EA6" s="349"/>
      <c r="EB6" s="349"/>
      <c r="EC6" s="349"/>
      <c r="ED6" s="349"/>
      <c r="EE6" s="349"/>
      <c r="EF6" s="349"/>
      <c r="EG6" s="349"/>
      <c r="EH6" s="349"/>
      <c r="EI6" s="349"/>
      <c r="EJ6" s="349"/>
      <c r="EK6" s="349"/>
      <c r="EL6" s="349"/>
      <c r="EM6" s="349"/>
      <c r="EN6" s="349"/>
      <c r="EO6" s="349"/>
      <c r="EP6" s="349"/>
      <c r="EQ6" s="349"/>
      <c r="ER6" s="349"/>
      <c r="ES6" s="349"/>
      <c r="ET6" s="349"/>
      <c r="EU6" s="349"/>
      <c r="EV6" s="349"/>
      <c r="EW6" s="349"/>
      <c r="EX6" s="349"/>
      <c r="EY6" s="349"/>
      <c r="EZ6" s="349"/>
      <c r="FA6" s="349"/>
      <c r="FB6" s="349"/>
      <c r="FC6" s="349"/>
      <c r="FD6" s="349"/>
      <c r="FE6" s="349"/>
      <c r="FF6" s="349"/>
      <c r="FG6" s="349"/>
      <c r="FH6" s="349"/>
      <c r="FI6" s="349"/>
      <c r="FJ6" s="349"/>
      <c r="FK6" s="349"/>
      <c r="FL6" s="349"/>
      <c r="FM6" s="349"/>
      <c r="FN6" s="349"/>
      <c r="FO6" s="349"/>
      <c r="FP6" s="349"/>
      <c r="FQ6" s="349"/>
      <c r="FR6" s="349"/>
      <c r="FS6" s="349"/>
      <c r="FT6" s="349"/>
      <c r="FU6" s="349"/>
      <c r="FV6" s="349"/>
      <c r="FW6" s="349"/>
      <c r="FX6" s="349"/>
      <c r="FY6" s="349"/>
      <c r="FZ6" s="349"/>
      <c r="GA6" s="349"/>
      <c r="GB6" s="349"/>
      <c r="GC6" s="349"/>
      <c r="GD6" s="349"/>
      <c r="GE6" s="349"/>
      <c r="GF6" s="349"/>
      <c r="GG6" s="349"/>
      <c r="GH6" s="349"/>
      <c r="GI6" s="349"/>
      <c r="GJ6" s="349"/>
      <c r="GK6" s="349"/>
      <c r="GL6" s="349"/>
      <c r="GM6" s="349"/>
      <c r="GN6" s="349"/>
      <c r="GO6" s="349"/>
      <c r="GP6" s="349"/>
      <c r="GQ6" s="349"/>
      <c r="GR6" s="349"/>
    </row>
    <row r="7" spans="1:200" ht="16.5" customHeight="1" x14ac:dyDescent="0.3">
      <c r="A7" s="349"/>
      <c r="B7" s="349"/>
      <c r="C7" s="349"/>
      <c r="D7" s="349"/>
      <c r="E7" s="532"/>
      <c r="F7" s="532"/>
      <c r="G7" s="532"/>
      <c r="H7" s="532"/>
      <c r="I7" s="532"/>
      <c r="J7" s="532"/>
      <c r="K7" s="532"/>
      <c r="L7" s="352"/>
      <c r="M7" s="540" t="s">
        <v>666</v>
      </c>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9"/>
      <c r="BN7" s="349"/>
      <c r="BO7" s="349"/>
      <c r="BP7" s="349"/>
      <c r="BQ7" s="349"/>
      <c r="BR7" s="349"/>
      <c r="BS7" s="349"/>
      <c r="BT7" s="349"/>
      <c r="BU7" s="349"/>
      <c r="BV7" s="349"/>
      <c r="BW7" s="349"/>
      <c r="BX7" s="349"/>
      <c r="BY7" s="349"/>
      <c r="BZ7" s="349"/>
      <c r="CA7" s="349"/>
      <c r="CB7" s="349"/>
      <c r="CC7" s="349"/>
      <c r="CD7" s="349"/>
      <c r="CE7" s="349"/>
      <c r="CF7" s="349"/>
      <c r="CG7" s="349"/>
      <c r="CH7" s="349"/>
      <c r="CI7" s="349"/>
      <c r="CJ7" s="349"/>
      <c r="CK7" s="349"/>
      <c r="CL7" s="349"/>
      <c r="CM7" s="349"/>
      <c r="CN7" s="349"/>
      <c r="CO7" s="349"/>
      <c r="CP7" s="349"/>
      <c r="CQ7" s="349"/>
      <c r="CR7" s="349"/>
      <c r="CS7" s="349"/>
      <c r="CT7" s="349"/>
      <c r="CU7" s="349"/>
      <c r="CV7" s="349"/>
      <c r="CW7" s="349"/>
      <c r="CX7" s="349"/>
      <c r="CY7" s="349"/>
      <c r="CZ7" s="349"/>
      <c r="DA7" s="349"/>
      <c r="DB7" s="349"/>
      <c r="DC7" s="349"/>
      <c r="DD7" s="349"/>
      <c r="DE7" s="349"/>
      <c r="DF7" s="349"/>
      <c r="DG7" s="349"/>
      <c r="DH7" s="349"/>
      <c r="DI7" s="349"/>
      <c r="DJ7" s="349"/>
      <c r="DK7" s="349"/>
      <c r="DL7" s="349"/>
      <c r="DM7" s="349"/>
      <c r="DN7" s="349"/>
      <c r="DO7" s="349"/>
      <c r="DP7" s="349"/>
      <c r="DQ7" s="349"/>
      <c r="DR7" s="349"/>
      <c r="DS7" s="349"/>
      <c r="DT7" s="349"/>
      <c r="DU7" s="349"/>
      <c r="DV7" s="349"/>
      <c r="DW7" s="349"/>
      <c r="DX7" s="349"/>
      <c r="DY7" s="349"/>
      <c r="DZ7" s="349"/>
      <c r="EA7" s="349"/>
      <c r="EB7" s="349"/>
      <c r="EC7" s="349"/>
      <c r="ED7" s="349"/>
      <c r="EE7" s="349"/>
      <c r="EF7" s="349"/>
      <c r="EG7" s="349"/>
      <c r="EH7" s="349"/>
      <c r="EI7" s="349"/>
      <c r="EJ7" s="349"/>
      <c r="EK7" s="349"/>
      <c r="EL7" s="349"/>
      <c r="EM7" s="349"/>
      <c r="EN7" s="349"/>
      <c r="EO7" s="349"/>
      <c r="EP7" s="349"/>
      <c r="EQ7" s="349"/>
      <c r="ER7" s="349"/>
      <c r="ES7" s="349"/>
      <c r="ET7" s="349"/>
      <c r="EU7" s="349"/>
      <c r="EV7" s="349"/>
      <c r="EW7" s="349"/>
      <c r="EX7" s="349"/>
      <c r="EY7" s="349"/>
      <c r="EZ7" s="349"/>
      <c r="FA7" s="349"/>
      <c r="FB7" s="349"/>
      <c r="FC7" s="349"/>
      <c r="FD7" s="349"/>
      <c r="FE7" s="349"/>
      <c r="FF7" s="349"/>
      <c r="FG7" s="349"/>
      <c r="FH7" s="349"/>
      <c r="FI7" s="349"/>
      <c r="FJ7" s="349"/>
      <c r="FK7" s="349"/>
      <c r="FL7" s="349"/>
      <c r="FM7" s="349"/>
      <c r="FN7" s="349"/>
      <c r="FO7" s="349"/>
      <c r="FP7" s="349"/>
      <c r="FQ7" s="349"/>
      <c r="FR7" s="349"/>
      <c r="FS7" s="349"/>
      <c r="FT7" s="349"/>
      <c r="FU7" s="349"/>
      <c r="FV7" s="349"/>
      <c r="FW7" s="349"/>
      <c r="FX7" s="349"/>
      <c r="FY7" s="349"/>
      <c r="FZ7" s="349"/>
      <c r="GA7" s="349"/>
      <c r="GB7" s="349"/>
      <c r="GC7" s="349"/>
      <c r="GD7" s="349"/>
      <c r="GE7" s="349"/>
      <c r="GF7" s="349"/>
      <c r="GG7" s="349"/>
      <c r="GH7" s="349"/>
      <c r="GI7" s="349"/>
      <c r="GJ7" s="349"/>
      <c r="GK7" s="349"/>
      <c r="GL7" s="349"/>
      <c r="GM7" s="349"/>
      <c r="GN7" s="349"/>
      <c r="GO7" s="349"/>
      <c r="GP7" s="349"/>
      <c r="GQ7" s="349"/>
      <c r="GR7" s="349"/>
    </row>
    <row r="8" spans="1:200" s="234" customFormat="1" ht="20.25" customHeight="1" x14ac:dyDescent="0.25">
      <c r="A8" s="352"/>
      <c r="B8" s="352"/>
      <c r="C8" s="352"/>
      <c r="D8" s="352"/>
      <c r="E8" s="532"/>
      <c r="F8" s="532"/>
      <c r="G8" s="532"/>
      <c r="H8" s="532"/>
      <c r="I8" s="532"/>
      <c r="J8" s="532"/>
      <c r="K8" s="532"/>
      <c r="L8" s="352"/>
      <c r="M8" s="540"/>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1"/>
      <c r="CT8" s="351"/>
      <c r="CU8" s="351"/>
      <c r="CV8" s="351"/>
      <c r="CW8" s="351"/>
      <c r="CX8" s="351"/>
      <c r="CY8" s="351"/>
      <c r="CZ8" s="351"/>
      <c r="DA8" s="351"/>
      <c r="DB8" s="351"/>
      <c r="DC8" s="351"/>
      <c r="DD8" s="351"/>
      <c r="DE8" s="351"/>
      <c r="DF8" s="351"/>
      <c r="DG8" s="351"/>
      <c r="DH8" s="351"/>
      <c r="DI8" s="351"/>
      <c r="DJ8" s="351"/>
      <c r="DK8" s="351"/>
      <c r="DL8" s="351"/>
      <c r="DM8" s="351"/>
      <c r="DN8" s="351"/>
      <c r="DO8" s="351"/>
      <c r="DP8" s="351"/>
      <c r="DQ8" s="351"/>
      <c r="DR8" s="351"/>
      <c r="DS8" s="351"/>
      <c r="DT8" s="351"/>
      <c r="DU8" s="351"/>
      <c r="DV8" s="351"/>
      <c r="DW8" s="351"/>
      <c r="DX8" s="351"/>
      <c r="DY8" s="351"/>
      <c r="DZ8" s="351"/>
      <c r="EA8" s="351"/>
      <c r="EB8" s="351"/>
      <c r="EC8" s="351"/>
      <c r="ED8" s="351"/>
      <c r="EE8" s="351"/>
      <c r="EF8" s="351"/>
      <c r="EG8" s="351"/>
      <c r="EH8" s="351"/>
      <c r="EI8" s="351"/>
      <c r="EJ8" s="351"/>
      <c r="EK8" s="351"/>
      <c r="EL8" s="351"/>
      <c r="EM8" s="351"/>
      <c r="EN8" s="351"/>
      <c r="EO8" s="351"/>
      <c r="EP8" s="351"/>
      <c r="EQ8" s="351"/>
      <c r="ER8" s="351"/>
      <c r="ES8" s="351"/>
      <c r="ET8" s="351"/>
      <c r="EU8" s="351"/>
      <c r="EV8" s="351"/>
      <c r="EW8" s="351"/>
      <c r="EX8" s="351"/>
      <c r="EY8" s="351"/>
      <c r="EZ8" s="351"/>
      <c r="FA8" s="351"/>
      <c r="FB8" s="351"/>
      <c r="FC8" s="351"/>
      <c r="FD8" s="351"/>
      <c r="FE8" s="351"/>
      <c r="FF8" s="351"/>
      <c r="FG8" s="351"/>
      <c r="FH8" s="351"/>
      <c r="FI8" s="351"/>
      <c r="FJ8" s="351"/>
      <c r="FK8" s="351"/>
      <c r="FL8" s="351"/>
      <c r="FM8" s="351"/>
      <c r="FN8" s="351"/>
      <c r="FO8" s="351"/>
      <c r="FP8" s="351"/>
      <c r="FQ8" s="351"/>
      <c r="FR8" s="351"/>
      <c r="FS8" s="351"/>
      <c r="FT8" s="351"/>
      <c r="FU8" s="351"/>
      <c r="FV8" s="351"/>
      <c r="FW8" s="351"/>
      <c r="FX8" s="351"/>
      <c r="FY8" s="351"/>
      <c r="FZ8" s="351"/>
      <c r="GA8" s="351"/>
      <c r="GB8" s="351"/>
      <c r="GC8" s="351"/>
      <c r="GD8" s="351"/>
      <c r="GE8" s="351"/>
      <c r="GF8" s="351"/>
      <c r="GG8" s="351"/>
      <c r="GH8" s="351"/>
      <c r="GI8" s="351"/>
      <c r="GJ8" s="351"/>
      <c r="GK8" s="351"/>
      <c r="GL8" s="351"/>
      <c r="GM8" s="351"/>
      <c r="GN8" s="351"/>
      <c r="GO8" s="351"/>
      <c r="GP8" s="351"/>
      <c r="GQ8" s="351"/>
      <c r="GR8" s="351"/>
    </row>
    <row r="9" spans="1:200" s="234" customFormat="1" ht="20.25" customHeight="1" x14ac:dyDescent="0.3">
      <c r="A9" s="352"/>
      <c r="B9" s="352"/>
      <c r="C9" s="352"/>
      <c r="D9" s="352"/>
      <c r="E9" s="349"/>
      <c r="F9" s="349"/>
      <c r="G9" s="349"/>
      <c r="H9" s="349"/>
      <c r="I9" s="349"/>
      <c r="J9" s="349"/>
      <c r="K9" s="349"/>
      <c r="L9" s="352"/>
      <c r="M9" s="352"/>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1"/>
      <c r="BU9" s="351"/>
      <c r="BV9" s="351"/>
      <c r="BW9" s="351"/>
      <c r="BX9" s="351"/>
      <c r="BY9" s="351"/>
      <c r="BZ9" s="351"/>
      <c r="CA9" s="351"/>
      <c r="CB9" s="351"/>
      <c r="CC9" s="351"/>
      <c r="CD9" s="351"/>
      <c r="CE9" s="351"/>
      <c r="CF9" s="351"/>
      <c r="CG9" s="351"/>
      <c r="CH9" s="351"/>
      <c r="CI9" s="351"/>
      <c r="CJ9" s="351"/>
      <c r="CK9" s="351"/>
      <c r="CL9" s="351"/>
      <c r="CM9" s="351"/>
      <c r="CN9" s="351"/>
      <c r="CO9" s="351"/>
      <c r="CP9" s="351"/>
      <c r="CQ9" s="351"/>
      <c r="CR9" s="351"/>
      <c r="CS9" s="351"/>
      <c r="CT9" s="351"/>
      <c r="CU9" s="351"/>
      <c r="CV9" s="351"/>
      <c r="CW9" s="351"/>
      <c r="CX9" s="351"/>
      <c r="CY9" s="351"/>
      <c r="CZ9" s="351"/>
      <c r="DA9" s="351"/>
      <c r="DB9" s="351"/>
      <c r="DC9" s="351"/>
      <c r="DD9" s="351"/>
      <c r="DE9" s="351"/>
      <c r="DF9" s="351"/>
      <c r="DG9" s="351"/>
      <c r="DH9" s="351"/>
      <c r="DI9" s="351"/>
      <c r="DJ9" s="351"/>
      <c r="DK9" s="351"/>
      <c r="DL9" s="351"/>
      <c r="DM9" s="351"/>
      <c r="DN9" s="351"/>
      <c r="DO9" s="351"/>
      <c r="DP9" s="351"/>
      <c r="DQ9" s="351"/>
      <c r="DR9" s="351"/>
      <c r="DS9" s="351"/>
      <c r="DT9" s="351"/>
      <c r="DU9" s="351"/>
      <c r="DV9" s="351"/>
      <c r="DW9" s="351"/>
      <c r="DX9" s="351"/>
      <c r="DY9" s="351"/>
      <c r="DZ9" s="351"/>
      <c r="EA9" s="351"/>
      <c r="EB9" s="351"/>
      <c r="EC9" s="351"/>
      <c r="ED9" s="351"/>
      <c r="EE9" s="351"/>
      <c r="EF9" s="351"/>
      <c r="EG9" s="351"/>
      <c r="EH9" s="351"/>
      <c r="EI9" s="351"/>
      <c r="EJ9" s="351"/>
      <c r="EK9" s="351"/>
      <c r="EL9" s="351"/>
      <c r="EM9" s="351"/>
      <c r="EN9" s="351"/>
      <c r="EO9" s="351"/>
      <c r="EP9" s="351"/>
      <c r="EQ9" s="351"/>
      <c r="ER9" s="351"/>
      <c r="ES9" s="351"/>
      <c r="ET9" s="351"/>
      <c r="EU9" s="351"/>
      <c r="EV9" s="351"/>
      <c r="EW9" s="351"/>
      <c r="EX9" s="351"/>
      <c r="EY9" s="351"/>
      <c r="EZ9" s="351"/>
      <c r="FA9" s="351"/>
      <c r="FB9" s="351"/>
      <c r="FC9" s="351"/>
      <c r="FD9" s="351"/>
      <c r="FE9" s="351"/>
      <c r="FF9" s="351"/>
      <c r="FG9" s="351"/>
      <c r="FH9" s="351"/>
      <c r="FI9" s="351"/>
      <c r="FJ9" s="351"/>
      <c r="FK9" s="351"/>
      <c r="FL9" s="351"/>
      <c r="FM9" s="351"/>
      <c r="FN9" s="351"/>
      <c r="FO9" s="351"/>
      <c r="FP9" s="351"/>
      <c r="FQ9" s="351"/>
      <c r="FR9" s="351"/>
      <c r="FS9" s="351"/>
      <c r="FT9" s="351"/>
      <c r="FU9" s="351"/>
      <c r="FV9" s="351"/>
      <c r="FW9" s="351"/>
      <c r="FX9" s="351"/>
      <c r="FY9" s="351"/>
      <c r="FZ9" s="351"/>
      <c r="GA9" s="351"/>
      <c r="GB9" s="351"/>
      <c r="GC9" s="351"/>
      <c r="GD9" s="351"/>
      <c r="GE9" s="351"/>
      <c r="GF9" s="351"/>
      <c r="GG9" s="351"/>
      <c r="GH9" s="351"/>
      <c r="GI9" s="351"/>
      <c r="GJ9" s="351"/>
      <c r="GK9" s="351"/>
      <c r="GL9" s="351"/>
      <c r="GM9" s="351"/>
      <c r="GN9" s="351"/>
      <c r="GO9" s="351"/>
      <c r="GP9" s="351"/>
      <c r="GQ9" s="351"/>
      <c r="GR9" s="351"/>
    </row>
    <row r="10" spans="1:200" s="234" customFormat="1" ht="17.25" customHeight="1" x14ac:dyDescent="0.25">
      <c r="A10" s="352"/>
      <c r="B10" s="352"/>
      <c r="C10" s="352"/>
      <c r="D10" s="352"/>
      <c r="E10" s="352"/>
      <c r="F10" s="352"/>
      <c r="G10" s="352"/>
      <c r="H10" s="352"/>
      <c r="I10" s="352"/>
      <c r="J10" s="352"/>
      <c r="K10" s="352"/>
      <c r="L10" s="352"/>
      <c r="M10" s="352"/>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row>
    <row r="11" spans="1:200" ht="20.100000000000001" customHeight="1" x14ac:dyDescent="0.3">
      <c r="A11" s="349"/>
      <c r="B11" s="539" t="s">
        <v>397</v>
      </c>
      <c r="C11" s="539"/>
      <c r="D11" s="539"/>
      <c r="E11" s="539"/>
      <c r="F11" s="539"/>
      <c r="G11" s="539"/>
      <c r="H11" s="539"/>
      <c r="I11" s="539"/>
      <c r="J11" s="539"/>
      <c r="K11" s="539"/>
      <c r="L11" s="539"/>
      <c r="M11" s="53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row>
    <row r="12" spans="1:200" ht="8.25" customHeight="1" x14ac:dyDescent="0.3">
      <c r="A12" s="349"/>
      <c r="B12" s="352"/>
      <c r="C12" s="352"/>
      <c r="D12" s="352"/>
      <c r="E12" s="352"/>
      <c r="F12" s="352"/>
      <c r="G12" s="352"/>
      <c r="H12" s="352"/>
      <c r="I12" s="352"/>
      <c r="J12" s="352"/>
      <c r="K12" s="352"/>
      <c r="L12" s="352"/>
      <c r="M12" s="352"/>
      <c r="N12" s="349"/>
      <c r="O12" s="349"/>
      <c r="P12" s="349"/>
      <c r="Q12" s="349"/>
      <c r="R12" s="349"/>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c r="AZ12" s="349"/>
      <c r="BA12" s="349"/>
      <c r="BB12" s="349"/>
      <c r="BC12" s="349"/>
      <c r="BD12" s="349"/>
      <c r="BE12" s="349"/>
      <c r="BF12" s="349"/>
      <c r="BG12" s="349"/>
    </row>
    <row r="13" spans="1:200" s="235" customFormat="1" ht="18" x14ac:dyDescent="0.25">
      <c r="A13" s="353"/>
      <c r="B13" s="353"/>
      <c r="C13" s="533" t="s">
        <v>87</v>
      </c>
      <c r="D13" s="534"/>
      <c r="E13" s="537" t="s">
        <v>399</v>
      </c>
      <c r="F13" s="537"/>
      <c r="G13" s="537"/>
      <c r="H13" s="537"/>
      <c r="I13" s="537"/>
      <c r="J13" s="537"/>
      <c r="K13" s="538"/>
      <c r="L13" s="354"/>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row>
    <row r="14" spans="1:200" s="235" customFormat="1" ht="7.5" customHeight="1" x14ac:dyDescent="0.25">
      <c r="A14" s="353"/>
      <c r="B14" s="355"/>
      <c r="C14" s="356"/>
      <c r="D14" s="356"/>
      <c r="E14" s="357"/>
      <c r="F14" s="355"/>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row>
    <row r="15" spans="1:200" s="235" customFormat="1" ht="20.25" x14ac:dyDescent="0.3">
      <c r="A15" s="353"/>
      <c r="B15" s="358"/>
      <c r="C15" s="535" t="s">
        <v>88</v>
      </c>
      <c r="D15" s="536"/>
      <c r="E15" s="537" t="s">
        <v>489</v>
      </c>
      <c r="F15" s="537"/>
      <c r="G15" s="537"/>
      <c r="H15" s="537"/>
      <c r="I15" s="537"/>
      <c r="J15" s="537"/>
      <c r="K15" s="538"/>
      <c r="L15" s="354"/>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row>
    <row r="16" spans="1:200" s="235" customFormat="1" ht="7.5" customHeight="1" x14ac:dyDescent="0.25">
      <c r="A16" s="353"/>
      <c r="B16" s="358"/>
      <c r="C16" s="359"/>
      <c r="D16" s="356"/>
      <c r="E16" s="357"/>
      <c r="F16" s="355"/>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row>
    <row r="17" spans="1:71" s="235" customFormat="1" ht="20.25" x14ac:dyDescent="0.3">
      <c r="A17" s="353"/>
      <c r="B17" s="358"/>
      <c r="C17" s="535" t="s">
        <v>89</v>
      </c>
      <c r="D17" s="536"/>
      <c r="E17" s="537" t="s">
        <v>490</v>
      </c>
      <c r="F17" s="537"/>
      <c r="G17" s="537"/>
      <c r="H17" s="537"/>
      <c r="I17" s="537"/>
      <c r="J17" s="537"/>
      <c r="K17" s="538"/>
      <c r="L17" s="354"/>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row>
    <row r="18" spans="1:71" s="235" customFormat="1" ht="7.5" customHeight="1" x14ac:dyDescent="0.25">
      <c r="A18" s="353"/>
      <c r="B18" s="358"/>
      <c r="C18" s="359"/>
      <c r="D18" s="356"/>
      <c r="E18" s="357"/>
      <c r="F18" s="355"/>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row>
    <row r="19" spans="1:71" s="235" customFormat="1" ht="20.25" x14ac:dyDescent="0.3">
      <c r="A19" s="353"/>
      <c r="B19" s="358"/>
      <c r="C19" s="535" t="s">
        <v>90</v>
      </c>
      <c r="D19" s="536"/>
      <c r="E19" s="537" t="s">
        <v>403</v>
      </c>
      <c r="F19" s="537"/>
      <c r="G19" s="537"/>
      <c r="H19" s="537"/>
      <c r="I19" s="537"/>
      <c r="J19" s="537"/>
      <c r="K19" s="538"/>
      <c r="L19" s="354"/>
      <c r="M19" s="353"/>
      <c r="N19" s="353"/>
      <c r="O19" s="353"/>
      <c r="P19" s="353"/>
      <c r="Q19" s="353"/>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row>
    <row r="20" spans="1:71" s="235" customFormat="1" ht="7.5" customHeight="1" x14ac:dyDescent="0.25">
      <c r="A20" s="353"/>
      <c r="B20" s="358"/>
      <c r="C20" s="358"/>
      <c r="D20" s="355"/>
      <c r="E20" s="357"/>
      <c r="F20" s="355"/>
      <c r="G20" s="353"/>
      <c r="H20" s="353"/>
      <c r="I20" s="353"/>
      <c r="J20" s="353"/>
      <c r="K20" s="353"/>
      <c r="L20" s="353"/>
      <c r="M20" s="353"/>
      <c r="N20" s="353"/>
      <c r="O20" s="353"/>
      <c r="P20" s="353"/>
      <c r="Q20" s="353"/>
      <c r="R20" s="353"/>
      <c r="S20" s="353"/>
      <c r="T20" s="353"/>
      <c r="U20" s="353"/>
      <c r="V20" s="353"/>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row>
    <row r="21" spans="1:71" s="235" customFormat="1" ht="18" x14ac:dyDescent="0.25">
      <c r="A21" s="353"/>
      <c r="B21" s="358"/>
      <c r="C21" s="553" t="s">
        <v>449</v>
      </c>
      <c r="D21" s="537"/>
      <c r="E21" s="537"/>
      <c r="F21" s="537"/>
      <c r="G21" s="537"/>
      <c r="H21" s="537"/>
      <c r="I21" s="537"/>
      <c r="J21" s="537"/>
      <c r="K21" s="538"/>
      <c r="L21" s="360"/>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c r="BB21" s="353"/>
      <c r="BC21" s="353"/>
      <c r="BD21" s="353"/>
      <c r="BE21" s="353"/>
      <c r="BF21" s="353"/>
      <c r="BG21" s="353"/>
    </row>
    <row r="22" spans="1:71" ht="9" customHeight="1" x14ac:dyDescent="0.3">
      <c r="A22" s="349"/>
      <c r="B22" s="349"/>
      <c r="C22" s="349"/>
      <c r="D22" s="361"/>
      <c r="E22" s="349"/>
      <c r="F22" s="349"/>
      <c r="G22" s="349"/>
      <c r="H22" s="349"/>
      <c r="I22" s="349"/>
      <c r="J22" s="349"/>
      <c r="K22" s="349"/>
      <c r="L22" s="349"/>
      <c r="M22" s="349"/>
      <c r="N22" s="349"/>
      <c r="O22" s="349"/>
      <c r="P22" s="349"/>
      <c r="Q22" s="349"/>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row>
    <row r="23" spans="1:71" ht="18" x14ac:dyDescent="0.3">
      <c r="A23" s="349"/>
      <c r="B23" s="539" t="s">
        <v>398</v>
      </c>
      <c r="C23" s="539"/>
      <c r="D23" s="539"/>
      <c r="E23" s="539"/>
      <c r="F23" s="539"/>
      <c r="G23" s="539"/>
      <c r="H23" s="539"/>
      <c r="I23" s="539"/>
      <c r="J23" s="539"/>
      <c r="K23" s="539"/>
      <c r="L23" s="539"/>
      <c r="M23" s="53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c r="BB23" s="349"/>
      <c r="BC23" s="349"/>
      <c r="BD23" s="349"/>
      <c r="BE23" s="349"/>
      <c r="BF23" s="349"/>
      <c r="BG23" s="349"/>
    </row>
    <row r="24" spans="1:71" ht="9.75" customHeight="1" x14ac:dyDescent="0.3">
      <c r="A24" s="349"/>
      <c r="B24" s="349"/>
      <c r="C24" s="349"/>
      <c r="D24" s="349"/>
      <c r="E24" s="349"/>
      <c r="F24" s="349"/>
      <c r="G24" s="349"/>
      <c r="H24" s="349"/>
      <c r="I24" s="349"/>
      <c r="J24" s="349"/>
      <c r="K24" s="349"/>
      <c r="L24" s="349"/>
      <c r="M24" s="349"/>
      <c r="N24" s="349"/>
      <c r="O24" s="349"/>
      <c r="P24" s="349"/>
      <c r="Q24" s="349"/>
      <c r="R24" s="349"/>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c r="BB24" s="349"/>
      <c r="BC24" s="349"/>
      <c r="BD24" s="349"/>
      <c r="BE24" s="349"/>
      <c r="BF24" s="349"/>
      <c r="BG24" s="349"/>
      <c r="BH24" s="349"/>
      <c r="BI24" s="349"/>
      <c r="BJ24" s="349"/>
      <c r="BK24" s="349"/>
      <c r="BL24" s="349"/>
      <c r="BM24" s="349"/>
      <c r="BN24" s="349"/>
      <c r="BO24" s="349"/>
      <c r="BP24" s="349"/>
      <c r="BQ24" s="349"/>
      <c r="BR24" s="349"/>
      <c r="BS24" s="349"/>
    </row>
    <row r="25" spans="1:71" ht="6.75" customHeight="1" thickBot="1" x14ac:dyDescent="0.35">
      <c r="A25" s="349"/>
      <c r="B25" s="349"/>
      <c r="C25" s="349"/>
      <c r="D25" s="349"/>
      <c r="E25" s="349"/>
      <c r="F25" s="349"/>
      <c r="G25" s="349"/>
      <c r="H25" s="349"/>
      <c r="I25" s="349"/>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349"/>
      <c r="BA25" s="349"/>
      <c r="BB25" s="349"/>
      <c r="BC25" s="349"/>
      <c r="BD25" s="349"/>
      <c r="BE25" s="349"/>
      <c r="BF25" s="349"/>
      <c r="BG25" s="349"/>
      <c r="BH25" s="349"/>
      <c r="BI25" s="349"/>
      <c r="BJ25" s="349"/>
      <c r="BK25" s="349"/>
      <c r="BL25" s="349"/>
      <c r="BM25" s="349"/>
      <c r="BN25" s="349"/>
      <c r="BO25" s="349"/>
      <c r="BP25" s="349"/>
      <c r="BQ25" s="349"/>
      <c r="BR25" s="349"/>
      <c r="BS25" s="349"/>
    </row>
    <row r="26" spans="1:71" x14ac:dyDescent="0.3">
      <c r="A26" s="349"/>
      <c r="B26" s="349"/>
      <c r="C26" s="541" t="s">
        <v>527</v>
      </c>
      <c r="D26" s="542"/>
      <c r="E26" s="542"/>
      <c r="F26" s="542"/>
      <c r="G26" s="542"/>
      <c r="H26" s="542"/>
      <c r="I26" s="542"/>
      <c r="J26" s="542"/>
      <c r="K26" s="542"/>
      <c r="L26" s="542"/>
      <c r="M26" s="543"/>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c r="AT26" s="349"/>
      <c r="AU26" s="349"/>
      <c r="AV26" s="349"/>
      <c r="AW26" s="349"/>
      <c r="AX26" s="349"/>
      <c r="AY26" s="349"/>
      <c r="AZ26" s="349"/>
      <c r="BA26" s="349"/>
      <c r="BB26" s="349"/>
      <c r="BC26" s="349"/>
      <c r="BD26" s="349"/>
      <c r="BE26" s="349"/>
      <c r="BF26" s="349"/>
      <c r="BG26" s="349"/>
      <c r="BH26" s="349"/>
      <c r="BI26" s="349"/>
      <c r="BJ26" s="349"/>
      <c r="BK26" s="349"/>
      <c r="BL26" s="349"/>
      <c r="BM26" s="349"/>
      <c r="BN26" s="349"/>
      <c r="BO26" s="349"/>
      <c r="BP26" s="349"/>
      <c r="BQ26" s="349"/>
      <c r="BR26" s="349"/>
      <c r="BS26" s="349"/>
    </row>
    <row r="27" spans="1:71" ht="15" customHeight="1" x14ac:dyDescent="0.3">
      <c r="A27" s="349"/>
      <c r="B27" s="349"/>
      <c r="C27" s="544"/>
      <c r="D27" s="545"/>
      <c r="E27" s="545"/>
      <c r="F27" s="545"/>
      <c r="G27" s="545"/>
      <c r="H27" s="545"/>
      <c r="I27" s="545"/>
      <c r="J27" s="545"/>
      <c r="K27" s="545"/>
      <c r="L27" s="545"/>
      <c r="M27" s="546"/>
      <c r="N27" s="349"/>
      <c r="O27" s="349"/>
      <c r="P27" s="349"/>
      <c r="Q27" s="349"/>
      <c r="R27" s="349"/>
      <c r="S27" s="349"/>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c r="AR27" s="349"/>
      <c r="AS27" s="349"/>
      <c r="AT27" s="349"/>
      <c r="AU27" s="349"/>
      <c r="AV27" s="349"/>
      <c r="AW27" s="349"/>
      <c r="AX27" s="349"/>
      <c r="AY27" s="349"/>
      <c r="AZ27" s="349"/>
      <c r="BA27" s="349"/>
      <c r="BB27" s="349"/>
      <c r="BC27" s="349"/>
      <c r="BD27" s="349"/>
      <c r="BE27" s="349"/>
      <c r="BF27" s="349"/>
      <c r="BG27" s="349"/>
      <c r="BH27" s="349"/>
      <c r="BI27" s="349"/>
      <c r="BJ27" s="349"/>
      <c r="BK27" s="349"/>
      <c r="BL27" s="349"/>
      <c r="BM27" s="349"/>
      <c r="BN27" s="349"/>
      <c r="BO27" s="349"/>
      <c r="BP27" s="349"/>
      <c r="BQ27" s="349"/>
      <c r="BR27" s="349"/>
      <c r="BS27" s="349"/>
    </row>
    <row r="28" spans="1:71" ht="27.75" customHeight="1" thickBot="1" x14ac:dyDescent="0.35">
      <c r="A28" s="349"/>
      <c r="B28" s="349"/>
      <c r="C28" s="547"/>
      <c r="D28" s="548"/>
      <c r="E28" s="548"/>
      <c r="F28" s="548"/>
      <c r="G28" s="548"/>
      <c r="H28" s="548"/>
      <c r="I28" s="548"/>
      <c r="J28" s="548"/>
      <c r="K28" s="548"/>
      <c r="L28" s="548"/>
      <c r="M28" s="549"/>
      <c r="N28" s="349"/>
      <c r="O28" s="349"/>
      <c r="P28" s="349"/>
      <c r="Q28" s="349"/>
      <c r="R28" s="349"/>
      <c r="S28" s="349"/>
      <c r="T28" s="349"/>
      <c r="U28" s="349"/>
      <c r="V28" s="349"/>
      <c r="W28" s="349"/>
      <c r="X28" s="349"/>
      <c r="Y28" s="349"/>
      <c r="Z28" s="349"/>
      <c r="AA28" s="349"/>
      <c r="AB28" s="349"/>
      <c r="AC28" s="349"/>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49"/>
      <c r="AZ28" s="349"/>
      <c r="BA28" s="349"/>
      <c r="BB28" s="349"/>
      <c r="BC28" s="349"/>
      <c r="BD28" s="349"/>
      <c r="BE28" s="349"/>
      <c r="BF28" s="349"/>
      <c r="BG28" s="349"/>
      <c r="BH28" s="349"/>
      <c r="BI28" s="349"/>
      <c r="BJ28" s="349"/>
      <c r="BK28" s="349"/>
      <c r="BL28" s="349"/>
      <c r="BM28" s="349"/>
      <c r="BN28" s="349"/>
      <c r="BO28" s="349"/>
      <c r="BP28" s="349"/>
      <c r="BQ28" s="349"/>
      <c r="BR28" s="349"/>
      <c r="BS28" s="349"/>
    </row>
    <row r="29" spans="1:71" ht="13.5" customHeight="1" thickBot="1" x14ac:dyDescent="0.35">
      <c r="A29" s="349"/>
      <c r="B29" s="349"/>
      <c r="C29" s="349"/>
      <c r="D29" s="349"/>
      <c r="E29" s="349"/>
      <c r="F29" s="349"/>
      <c r="G29" s="349"/>
      <c r="H29" s="349"/>
      <c r="I29" s="349"/>
      <c r="J29" s="349"/>
      <c r="K29" s="349"/>
      <c r="L29" s="349"/>
      <c r="M29" s="349" t="s">
        <v>340</v>
      </c>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c r="AT29" s="349"/>
      <c r="AU29" s="349"/>
      <c r="AV29" s="349"/>
      <c r="AW29" s="349"/>
      <c r="AX29" s="349"/>
      <c r="AY29" s="349"/>
      <c r="AZ29" s="349"/>
      <c r="BA29" s="349"/>
      <c r="BB29" s="349"/>
      <c r="BC29" s="349"/>
      <c r="BD29" s="349"/>
      <c r="BE29" s="349"/>
      <c r="BF29" s="349"/>
      <c r="BG29" s="349"/>
      <c r="BH29" s="349"/>
      <c r="BI29" s="349"/>
      <c r="BJ29" s="349"/>
      <c r="BK29" s="349"/>
      <c r="BL29" s="349"/>
      <c r="BM29" s="349"/>
      <c r="BN29" s="349"/>
      <c r="BO29" s="349"/>
      <c r="BP29" s="349"/>
      <c r="BQ29" s="349"/>
      <c r="BR29" s="349"/>
      <c r="BS29" s="349"/>
    </row>
    <row r="30" spans="1:71" ht="105" customHeight="1" thickBot="1" x14ac:dyDescent="0.35">
      <c r="A30" s="349"/>
      <c r="B30" s="349"/>
      <c r="C30" s="349"/>
      <c r="D30" s="349"/>
      <c r="E30" s="349"/>
      <c r="F30" s="550" t="s">
        <v>663</v>
      </c>
      <c r="G30" s="551"/>
      <c r="H30" s="551"/>
      <c r="I30" s="551"/>
      <c r="J30" s="552"/>
      <c r="K30" s="349"/>
      <c r="L30" s="349"/>
      <c r="M30" s="349"/>
      <c r="N30" s="349"/>
      <c r="O30" s="349"/>
      <c r="P30" s="349"/>
      <c r="Q30" s="349"/>
      <c r="R30" s="349"/>
      <c r="S30" s="349"/>
      <c r="T30" s="349"/>
      <c r="U30" s="349"/>
      <c r="V30" s="349"/>
      <c r="W30" s="349"/>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c r="BB30" s="349"/>
      <c r="BC30" s="349"/>
      <c r="BD30" s="349"/>
      <c r="BE30" s="349"/>
      <c r="BF30" s="349"/>
      <c r="BG30" s="349"/>
      <c r="BH30" s="349"/>
      <c r="BI30" s="349"/>
      <c r="BJ30" s="349"/>
      <c r="BK30" s="349"/>
      <c r="BL30" s="349"/>
      <c r="BM30" s="349"/>
      <c r="BN30" s="349"/>
      <c r="BO30" s="349"/>
      <c r="BP30" s="349"/>
      <c r="BQ30" s="349"/>
      <c r="BR30" s="349"/>
      <c r="BS30" s="349"/>
    </row>
    <row r="31" spans="1:71" ht="11.25" customHeight="1" x14ac:dyDescent="0.3">
      <c r="A31" s="349"/>
      <c r="B31" s="349"/>
      <c r="C31" s="349"/>
      <c r="D31" s="349"/>
      <c r="E31" s="349"/>
      <c r="F31" s="349"/>
      <c r="G31" s="349"/>
      <c r="H31" s="349"/>
      <c r="I31" s="349"/>
      <c r="J31" s="349"/>
      <c r="K31" s="349"/>
      <c r="L31" s="349"/>
      <c r="M31" s="349"/>
      <c r="N31" s="349"/>
      <c r="O31" s="349"/>
      <c r="P31" s="349"/>
      <c r="Q31" s="349"/>
      <c r="R31" s="349"/>
      <c r="S31" s="349"/>
      <c r="T31" s="349"/>
      <c r="U31" s="349"/>
      <c r="V31" s="349"/>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c r="BB31" s="349"/>
      <c r="BC31" s="349"/>
      <c r="BD31" s="349"/>
      <c r="BE31" s="349"/>
      <c r="BF31" s="349"/>
      <c r="BG31" s="349"/>
      <c r="BH31" s="349"/>
      <c r="BI31" s="349"/>
      <c r="BJ31" s="349"/>
      <c r="BK31" s="349"/>
      <c r="BL31" s="349"/>
      <c r="BM31" s="349"/>
      <c r="BN31" s="349"/>
      <c r="BO31" s="349"/>
      <c r="BP31" s="349"/>
      <c r="BQ31" s="349"/>
      <c r="BR31" s="349"/>
      <c r="BS31" s="349"/>
    </row>
    <row r="32" spans="1:71" ht="18" customHeight="1" x14ac:dyDescent="0.3">
      <c r="A32" s="349"/>
      <c r="B32" s="349"/>
      <c r="C32" s="349"/>
      <c r="D32" s="349"/>
      <c r="E32" s="349"/>
      <c r="F32" s="349"/>
      <c r="G32" s="349"/>
      <c r="H32" s="349"/>
      <c r="I32" s="349"/>
      <c r="J32" s="349"/>
      <c r="K32" s="349"/>
      <c r="L32" s="349"/>
      <c r="M32" s="349"/>
      <c r="N32" s="349"/>
      <c r="O32" s="349"/>
      <c r="P32" s="349"/>
      <c r="Q32" s="349"/>
      <c r="R32" s="349"/>
      <c r="S32" s="349"/>
      <c r="T32" s="349"/>
      <c r="U32" s="349"/>
      <c r="V32" s="349"/>
      <c r="W32" s="349"/>
      <c r="X32" s="349"/>
      <c r="Y32" s="349"/>
      <c r="Z32" s="349"/>
      <c r="AA32" s="349"/>
      <c r="AB32" s="349"/>
      <c r="AC32" s="349"/>
      <c r="AD32" s="349"/>
      <c r="AE32" s="349"/>
      <c r="AF32" s="349"/>
      <c r="AG32" s="349"/>
      <c r="AH32" s="349"/>
      <c r="AI32" s="349"/>
      <c r="AJ32" s="349"/>
      <c r="AK32" s="349"/>
      <c r="AL32" s="349"/>
      <c r="AM32" s="349"/>
      <c r="AN32" s="349"/>
      <c r="AO32" s="349"/>
      <c r="AP32" s="349"/>
      <c r="AQ32" s="349"/>
      <c r="AR32" s="349"/>
      <c r="AS32" s="349"/>
      <c r="AT32" s="349"/>
      <c r="AU32" s="349"/>
      <c r="AV32" s="349"/>
      <c r="AW32" s="349"/>
      <c r="AX32" s="349"/>
      <c r="AY32" s="349"/>
      <c r="AZ32" s="349"/>
      <c r="BA32" s="349"/>
      <c r="BB32" s="349"/>
      <c r="BC32" s="349"/>
      <c r="BD32" s="349"/>
      <c r="BE32" s="349"/>
      <c r="BF32" s="349"/>
      <c r="BG32" s="349"/>
      <c r="BH32" s="349"/>
      <c r="BI32" s="349"/>
      <c r="BJ32" s="349"/>
      <c r="BK32" s="349"/>
      <c r="BL32" s="349"/>
      <c r="BM32" s="349"/>
      <c r="BN32" s="349"/>
      <c r="BO32" s="349"/>
      <c r="BP32" s="349"/>
      <c r="BQ32" s="349"/>
      <c r="BR32" s="349"/>
      <c r="BS32" s="349"/>
    </row>
    <row r="33" spans="1:71" ht="18" customHeight="1" x14ac:dyDescent="0.3">
      <c r="A33" s="349"/>
      <c r="B33" s="349"/>
      <c r="C33" s="349"/>
      <c r="D33" s="349"/>
      <c r="E33" s="349"/>
      <c r="F33" s="349"/>
      <c r="G33" s="349"/>
      <c r="H33" s="349"/>
      <c r="I33" s="349"/>
      <c r="J33" s="349"/>
      <c r="K33" s="349"/>
      <c r="L33" s="349"/>
      <c r="M33" s="349"/>
      <c r="N33" s="349"/>
      <c r="O33" s="349"/>
      <c r="P33" s="349"/>
      <c r="Q33" s="349"/>
      <c r="R33" s="349"/>
      <c r="S33" s="349"/>
      <c r="T33" s="349"/>
      <c r="U33" s="349"/>
      <c r="V33" s="349"/>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c r="BB33" s="349"/>
      <c r="BC33" s="349"/>
      <c r="BD33" s="349"/>
      <c r="BE33" s="349"/>
      <c r="BF33" s="349"/>
      <c r="BG33" s="349"/>
      <c r="BH33" s="349"/>
      <c r="BI33" s="349"/>
      <c r="BJ33" s="349"/>
      <c r="BK33" s="349"/>
      <c r="BL33" s="349"/>
      <c r="BM33" s="349"/>
      <c r="BN33" s="349"/>
      <c r="BO33" s="349"/>
      <c r="BP33" s="349"/>
      <c r="BQ33" s="349"/>
      <c r="BR33" s="349"/>
      <c r="BS33" s="349"/>
    </row>
    <row r="34" spans="1:71" x14ac:dyDescent="0.3">
      <c r="A34" s="349"/>
      <c r="B34" s="349"/>
      <c r="C34" s="349"/>
      <c r="D34" s="349"/>
      <c r="E34" s="349"/>
      <c r="F34" s="349"/>
      <c r="G34" s="349"/>
      <c r="H34" s="349"/>
      <c r="I34" s="349"/>
      <c r="J34" s="349"/>
      <c r="K34" s="349"/>
      <c r="L34" s="349"/>
      <c r="M34" s="349"/>
      <c r="N34" s="349"/>
      <c r="O34" s="349"/>
      <c r="P34" s="349"/>
      <c r="Q34" s="349"/>
      <c r="R34" s="349"/>
      <c r="S34" s="349"/>
      <c r="T34" s="349"/>
      <c r="U34" s="349"/>
      <c r="V34" s="349"/>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49"/>
      <c r="AU34" s="349"/>
      <c r="AV34" s="349"/>
      <c r="AW34" s="349"/>
      <c r="AX34" s="349"/>
      <c r="AY34" s="349"/>
      <c r="AZ34" s="349"/>
      <c r="BA34" s="349"/>
      <c r="BB34" s="349"/>
      <c r="BC34" s="349"/>
      <c r="BD34" s="349"/>
      <c r="BE34" s="349"/>
      <c r="BF34" s="349"/>
      <c r="BG34" s="349"/>
      <c r="BH34" s="349"/>
      <c r="BI34" s="349"/>
      <c r="BJ34" s="349"/>
      <c r="BK34" s="349"/>
      <c r="BL34" s="349"/>
      <c r="BM34" s="349"/>
      <c r="BN34" s="349"/>
      <c r="BO34" s="349"/>
      <c r="BP34" s="349"/>
      <c r="BQ34" s="349"/>
      <c r="BR34" s="349"/>
      <c r="BS34" s="349"/>
    </row>
    <row r="35" spans="1:71" x14ac:dyDescent="0.3">
      <c r="A35" s="349"/>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c r="BB35" s="349"/>
      <c r="BC35" s="349"/>
      <c r="BD35" s="349"/>
      <c r="BE35" s="349"/>
      <c r="BF35" s="349"/>
      <c r="BG35" s="349"/>
      <c r="BH35" s="349"/>
      <c r="BI35" s="349"/>
      <c r="BJ35" s="349"/>
      <c r="BK35" s="349"/>
      <c r="BL35" s="349"/>
      <c r="BM35" s="349"/>
      <c r="BN35" s="349"/>
      <c r="BO35" s="349"/>
      <c r="BP35" s="349"/>
      <c r="BQ35" s="349"/>
      <c r="BR35" s="349"/>
      <c r="BS35" s="349"/>
    </row>
    <row r="36" spans="1:71" x14ac:dyDescent="0.3">
      <c r="A36" s="349"/>
      <c r="B36" s="349"/>
      <c r="C36" s="349"/>
      <c r="D36" s="349"/>
      <c r="E36" s="349"/>
      <c r="F36" s="349"/>
      <c r="G36" s="362"/>
      <c r="H36" s="349"/>
      <c r="I36" s="349"/>
      <c r="J36" s="349"/>
      <c r="K36" s="349"/>
      <c r="L36" s="349"/>
      <c r="M36" s="349"/>
      <c r="N36" s="349"/>
      <c r="O36" s="349"/>
      <c r="P36" s="349"/>
      <c r="Q36" s="349"/>
      <c r="R36" s="349"/>
      <c r="S36" s="349"/>
      <c r="T36" s="349"/>
      <c r="U36" s="349"/>
      <c r="V36" s="349"/>
      <c r="W36" s="349"/>
      <c r="X36" s="349"/>
      <c r="Y36" s="349"/>
      <c r="Z36" s="349"/>
      <c r="AA36" s="349"/>
      <c r="AB36" s="349"/>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c r="BB36" s="349"/>
      <c r="BC36" s="349"/>
      <c r="BD36" s="349"/>
      <c r="BE36" s="349"/>
      <c r="BF36" s="349"/>
      <c r="BG36" s="349"/>
      <c r="BH36" s="349"/>
      <c r="BI36" s="349"/>
      <c r="BJ36" s="349"/>
      <c r="BK36" s="349"/>
      <c r="BL36" s="349"/>
      <c r="BM36" s="349"/>
      <c r="BN36" s="349"/>
      <c r="BO36" s="349"/>
      <c r="BP36" s="349"/>
      <c r="BQ36" s="349"/>
      <c r="BR36" s="349"/>
      <c r="BS36" s="349"/>
    </row>
    <row r="37" spans="1:71" x14ac:dyDescent="0.3">
      <c r="A37" s="349"/>
      <c r="B37" s="349"/>
      <c r="C37" s="349"/>
      <c r="D37" s="349"/>
      <c r="E37" s="349"/>
      <c r="F37" s="349"/>
      <c r="G37" s="349"/>
      <c r="H37" s="349"/>
      <c r="I37" s="349"/>
      <c r="J37" s="349"/>
      <c r="K37" s="349"/>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49"/>
      <c r="AW37" s="349"/>
      <c r="AX37" s="349"/>
      <c r="AY37" s="349"/>
      <c r="AZ37" s="349"/>
      <c r="BA37" s="349"/>
      <c r="BB37" s="349"/>
      <c r="BC37" s="349"/>
      <c r="BD37" s="349"/>
      <c r="BE37" s="349"/>
      <c r="BF37" s="349"/>
      <c r="BG37" s="349"/>
      <c r="BH37" s="349"/>
      <c r="BI37" s="349"/>
      <c r="BJ37" s="349"/>
      <c r="BK37" s="349"/>
      <c r="BL37" s="349"/>
      <c r="BM37" s="349"/>
      <c r="BN37" s="349"/>
      <c r="BO37" s="349"/>
      <c r="BP37" s="349"/>
      <c r="BQ37" s="349"/>
      <c r="BR37" s="349"/>
      <c r="BS37" s="349"/>
    </row>
    <row r="38" spans="1:71" x14ac:dyDescent="0.3">
      <c r="A38" s="349"/>
      <c r="B38" s="349"/>
      <c r="C38" s="349"/>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349"/>
      <c r="BD38" s="349"/>
      <c r="BE38" s="349"/>
      <c r="BF38" s="349"/>
      <c r="BG38" s="349"/>
      <c r="BH38" s="349"/>
      <c r="BI38" s="349"/>
      <c r="BJ38" s="349"/>
      <c r="BK38" s="349"/>
      <c r="BL38" s="349"/>
      <c r="BM38" s="349"/>
      <c r="BN38" s="349"/>
      <c r="BO38" s="349"/>
      <c r="BP38" s="349"/>
      <c r="BQ38" s="349"/>
      <c r="BR38" s="349"/>
      <c r="BS38" s="349"/>
    </row>
    <row r="39" spans="1:71" x14ac:dyDescent="0.3">
      <c r="A39" s="349"/>
      <c r="B39" s="349"/>
      <c r="C39" s="349"/>
      <c r="D39" s="349"/>
      <c r="E39" s="349"/>
      <c r="F39" s="349"/>
      <c r="G39" s="349"/>
      <c r="H39" s="349"/>
      <c r="I39" s="349"/>
      <c r="J39" s="349"/>
      <c r="K39" s="349"/>
      <c r="L39" s="349"/>
      <c r="M39" s="349"/>
      <c r="N39" s="349"/>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c r="BB39" s="349"/>
      <c r="BC39" s="349"/>
      <c r="BD39" s="349"/>
      <c r="BE39" s="349"/>
      <c r="BF39" s="349"/>
      <c r="BG39" s="349"/>
      <c r="BH39" s="349"/>
      <c r="BI39" s="349"/>
      <c r="BJ39" s="349"/>
      <c r="BK39" s="349"/>
      <c r="BL39" s="349"/>
      <c r="BM39" s="349"/>
      <c r="BN39" s="349"/>
      <c r="BO39" s="349"/>
      <c r="BP39" s="349"/>
      <c r="BQ39" s="349"/>
      <c r="BR39" s="349"/>
      <c r="BS39" s="349"/>
    </row>
    <row r="40" spans="1:71" x14ac:dyDescent="0.3">
      <c r="A40" s="349"/>
      <c r="B40" s="349"/>
      <c r="C40" s="349"/>
      <c r="D40" s="349"/>
      <c r="E40" s="349"/>
      <c r="F40" s="349"/>
      <c r="G40" s="349"/>
      <c r="H40" s="349"/>
      <c r="I40" s="349"/>
      <c r="J40" s="349"/>
      <c r="K40" s="349"/>
      <c r="L40" s="349"/>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49"/>
      <c r="BE40" s="349"/>
      <c r="BF40" s="349"/>
      <c r="BG40" s="349"/>
      <c r="BH40" s="349"/>
      <c r="BI40" s="349"/>
      <c r="BJ40" s="349"/>
      <c r="BK40" s="349"/>
      <c r="BL40" s="349"/>
      <c r="BM40" s="349"/>
      <c r="BN40" s="349"/>
      <c r="BO40" s="349"/>
      <c r="BP40" s="349"/>
      <c r="BQ40" s="349"/>
      <c r="BR40" s="349"/>
      <c r="BS40" s="349"/>
    </row>
    <row r="41" spans="1:71" x14ac:dyDescent="0.3">
      <c r="A41" s="349"/>
      <c r="B41" s="349"/>
      <c r="C41" s="349"/>
      <c r="D41" s="349"/>
      <c r="E41" s="349"/>
      <c r="F41" s="349"/>
      <c r="G41" s="349"/>
      <c r="H41" s="349"/>
      <c r="I41" s="349"/>
      <c r="J41" s="349"/>
      <c r="K41" s="349"/>
      <c r="L41" s="349"/>
      <c r="M41" s="349"/>
      <c r="N41" s="349"/>
      <c r="O41" s="349"/>
      <c r="P41" s="349"/>
      <c r="Q41" s="349"/>
      <c r="R41" s="349"/>
      <c r="S41" s="349"/>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c r="BB41" s="349"/>
      <c r="BC41" s="349"/>
      <c r="BD41" s="349"/>
      <c r="BE41" s="349"/>
      <c r="BF41" s="349"/>
      <c r="BG41" s="349"/>
      <c r="BH41" s="349"/>
      <c r="BI41" s="349"/>
      <c r="BJ41" s="349"/>
      <c r="BK41" s="349"/>
      <c r="BL41" s="349"/>
      <c r="BM41" s="349"/>
      <c r="BN41" s="349"/>
      <c r="BO41" s="349"/>
      <c r="BP41" s="349"/>
      <c r="BQ41" s="349"/>
      <c r="BR41" s="349"/>
      <c r="BS41" s="349"/>
    </row>
    <row r="42" spans="1:71" x14ac:dyDescent="0.3">
      <c r="A42" s="349"/>
      <c r="B42" s="349"/>
      <c r="C42" s="349"/>
      <c r="D42" s="349"/>
      <c r="E42" s="349"/>
      <c r="F42" s="349"/>
      <c r="G42" s="349"/>
      <c r="H42" s="349"/>
      <c r="I42" s="349"/>
      <c r="J42" s="349"/>
      <c r="K42" s="349"/>
      <c r="L42" s="349"/>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c r="BB42" s="349"/>
      <c r="BC42" s="349"/>
      <c r="BD42" s="349"/>
      <c r="BE42" s="349"/>
      <c r="BF42" s="349"/>
      <c r="BG42" s="349"/>
      <c r="BH42" s="349"/>
      <c r="BI42" s="349"/>
      <c r="BJ42" s="349"/>
      <c r="BK42" s="349"/>
      <c r="BL42" s="349"/>
      <c r="BM42" s="349"/>
      <c r="BN42" s="349"/>
      <c r="BO42" s="349"/>
      <c r="BP42" s="349"/>
      <c r="BQ42" s="349"/>
      <c r="BR42" s="349"/>
      <c r="BS42" s="349"/>
    </row>
    <row r="43" spans="1:71" x14ac:dyDescent="0.3">
      <c r="A43" s="349"/>
      <c r="B43" s="349"/>
      <c r="C43" s="349"/>
      <c r="D43" s="349"/>
      <c r="E43" s="349"/>
      <c r="F43" s="349"/>
      <c r="G43" s="349"/>
      <c r="H43" s="349"/>
      <c r="I43" s="349"/>
      <c r="J43" s="349"/>
      <c r="K43" s="349"/>
      <c r="L43" s="349"/>
      <c r="M43" s="349"/>
      <c r="N43" s="349"/>
      <c r="O43" s="349"/>
      <c r="P43" s="349"/>
      <c r="Q43" s="349"/>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49"/>
      <c r="BH43" s="349"/>
      <c r="BI43" s="349"/>
      <c r="BJ43" s="349"/>
      <c r="BK43" s="349"/>
      <c r="BL43" s="349"/>
      <c r="BM43" s="349"/>
      <c r="BN43" s="349"/>
      <c r="BO43" s="349"/>
      <c r="BP43" s="349"/>
      <c r="BQ43" s="349"/>
      <c r="BR43" s="349"/>
      <c r="BS43" s="349"/>
    </row>
    <row r="44" spans="1:71" x14ac:dyDescent="0.3">
      <c r="A44" s="349"/>
      <c r="B44" s="349"/>
      <c r="C44" s="349"/>
      <c r="D44" s="349"/>
      <c r="E44" s="349"/>
      <c r="F44" s="349"/>
      <c r="G44" s="349"/>
      <c r="H44" s="349"/>
      <c r="I44" s="349"/>
      <c r="J44" s="349"/>
      <c r="K44" s="349"/>
      <c r="L44" s="349"/>
      <c r="M44" s="349"/>
      <c r="N44" s="349"/>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c r="BD44" s="349"/>
      <c r="BE44" s="349"/>
      <c r="BF44" s="349"/>
      <c r="BG44" s="349"/>
      <c r="BH44" s="349"/>
      <c r="BI44" s="349"/>
      <c r="BJ44" s="349"/>
      <c r="BK44" s="349"/>
      <c r="BL44" s="349"/>
      <c r="BM44" s="349"/>
      <c r="BN44" s="349"/>
      <c r="BO44" s="349"/>
      <c r="BP44" s="349"/>
      <c r="BQ44" s="349"/>
      <c r="BR44" s="349"/>
      <c r="BS44" s="349"/>
    </row>
    <row r="45" spans="1:71" x14ac:dyDescent="0.3">
      <c r="A45" s="349"/>
      <c r="B45" s="349"/>
      <c r="C45" s="349"/>
      <c r="D45" s="349"/>
      <c r="E45" s="349"/>
      <c r="F45" s="349"/>
      <c r="G45" s="349"/>
      <c r="H45" s="349"/>
      <c r="I45" s="349"/>
      <c r="J45" s="349"/>
      <c r="K45" s="349"/>
      <c r="L45" s="349"/>
      <c r="M45" s="349"/>
      <c r="N45" s="349"/>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c r="BD45" s="349"/>
      <c r="BE45" s="349"/>
      <c r="BF45" s="349"/>
      <c r="BG45" s="349"/>
      <c r="BH45" s="349"/>
      <c r="BI45" s="349"/>
      <c r="BJ45" s="349"/>
      <c r="BK45" s="349"/>
      <c r="BL45" s="349"/>
      <c r="BM45" s="349"/>
      <c r="BN45" s="349"/>
      <c r="BO45" s="349"/>
      <c r="BP45" s="349"/>
      <c r="BQ45" s="349"/>
      <c r="BR45" s="349"/>
      <c r="BS45" s="349"/>
    </row>
    <row r="46" spans="1:71" x14ac:dyDescent="0.3">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c r="BO46" s="349"/>
      <c r="BP46" s="349"/>
      <c r="BQ46" s="349"/>
      <c r="BR46" s="349"/>
      <c r="BS46" s="349"/>
    </row>
    <row r="47" spans="1:71" x14ac:dyDescent="0.3">
      <c r="A47" s="349"/>
      <c r="B47" s="349"/>
      <c r="C47" s="349"/>
      <c r="D47" s="349"/>
      <c r="E47" s="349"/>
      <c r="F47" s="349"/>
      <c r="G47" s="349"/>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c r="BR47" s="349"/>
      <c r="BS47" s="349"/>
    </row>
    <row r="48" spans="1:71" x14ac:dyDescent="0.3">
      <c r="A48" s="349"/>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row>
    <row r="49" spans="1:71" x14ac:dyDescent="0.3">
      <c r="A49" s="349"/>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c r="BO49" s="349"/>
      <c r="BP49" s="349"/>
      <c r="BQ49" s="349"/>
      <c r="BR49" s="349"/>
      <c r="BS49" s="349"/>
    </row>
    <row r="50" spans="1:71" x14ac:dyDescent="0.3">
      <c r="A50" s="349"/>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row>
    <row r="51" spans="1:71" x14ac:dyDescent="0.3">
      <c r="A51" s="349"/>
      <c r="B51" s="349"/>
      <c r="C51" s="349"/>
      <c r="D51" s="349"/>
      <c r="E51" s="349"/>
      <c r="F51" s="349"/>
      <c r="G51" s="349"/>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row>
    <row r="52" spans="1:71" x14ac:dyDescent="0.3">
      <c r="A52" s="349"/>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row>
    <row r="53" spans="1:71" x14ac:dyDescent="0.3">
      <c r="A53" s="349"/>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row>
    <row r="54" spans="1:71" x14ac:dyDescent="0.3">
      <c r="A54" s="349"/>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c r="BR54" s="349"/>
      <c r="BS54" s="349"/>
    </row>
    <row r="55" spans="1:71" x14ac:dyDescent="0.3">
      <c r="A55" s="349"/>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row>
    <row r="56" spans="1:71" x14ac:dyDescent="0.3">
      <c r="A56" s="349"/>
      <c r="B56" s="349"/>
      <c r="C56" s="349"/>
      <c r="D56" s="349"/>
      <c r="E56" s="349"/>
      <c r="F56" s="349"/>
      <c r="G56" s="349"/>
      <c r="H56" s="349"/>
      <c r="I56" s="349"/>
      <c r="J56" s="349"/>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c r="BR56" s="349"/>
      <c r="BS56" s="349"/>
    </row>
    <row r="57" spans="1:71" x14ac:dyDescent="0.3">
      <c r="A57" s="349"/>
      <c r="B57" s="349"/>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row>
    <row r="58" spans="1:71" x14ac:dyDescent="0.3">
      <c r="A58" s="349"/>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c r="BR58" s="349"/>
      <c r="BS58" s="349"/>
    </row>
    <row r="59" spans="1:71" x14ac:dyDescent="0.3">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row>
    <row r="60" spans="1:71" x14ac:dyDescent="0.3">
      <c r="A60" s="349"/>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row>
    <row r="61" spans="1:71" x14ac:dyDescent="0.3">
      <c r="A61" s="349"/>
      <c r="B61" s="349"/>
      <c r="C61" s="349"/>
      <c r="D61" s="349"/>
      <c r="E61" s="349"/>
      <c r="F61" s="349"/>
      <c r="G61" s="349"/>
      <c r="H61" s="349"/>
      <c r="I61" s="349"/>
      <c r="J61" s="349"/>
      <c r="K61" s="349"/>
      <c r="L61" s="349"/>
      <c r="M61" s="349"/>
      <c r="N61" s="349"/>
      <c r="O61" s="349"/>
      <c r="P61" s="349"/>
      <c r="Q61" s="349"/>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c r="BR61" s="349"/>
      <c r="BS61" s="349"/>
    </row>
    <row r="62" spans="1:71" x14ac:dyDescent="0.3">
      <c r="A62" s="349"/>
      <c r="B62" s="349"/>
      <c r="C62" s="349"/>
      <c r="D62" s="349"/>
      <c r="E62" s="349"/>
      <c r="F62" s="349"/>
      <c r="G62" s="349"/>
      <c r="H62" s="349"/>
      <c r="I62" s="349"/>
      <c r="J62" s="349"/>
      <c r="K62" s="349"/>
      <c r="L62" s="349"/>
      <c r="M62" s="349"/>
      <c r="N62" s="349"/>
      <c r="O62" s="349"/>
      <c r="P62" s="349"/>
      <c r="Q62" s="349"/>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c r="BR62" s="349"/>
      <c r="BS62" s="349"/>
    </row>
    <row r="63" spans="1:71" x14ac:dyDescent="0.3">
      <c r="A63" s="349"/>
      <c r="B63" s="349"/>
      <c r="C63" s="349"/>
      <c r="D63" s="349"/>
      <c r="E63" s="349"/>
      <c r="F63" s="349"/>
      <c r="G63" s="349"/>
      <c r="H63" s="349"/>
      <c r="I63" s="349"/>
      <c r="J63" s="349"/>
      <c r="K63" s="349"/>
      <c r="L63" s="349"/>
      <c r="M63" s="349"/>
      <c r="N63" s="349"/>
      <c r="O63" s="349"/>
      <c r="P63" s="349"/>
      <c r="Q63" s="349"/>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c r="BR63" s="349"/>
      <c r="BS63" s="349"/>
    </row>
    <row r="64" spans="1:71" x14ac:dyDescent="0.3">
      <c r="A64" s="349"/>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c r="BR64" s="349"/>
      <c r="BS64" s="349"/>
    </row>
    <row r="65" spans="1:71" x14ac:dyDescent="0.3">
      <c r="A65" s="349"/>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row>
    <row r="66" spans="1:71" x14ac:dyDescent="0.3">
      <c r="A66" s="349"/>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c r="BR66" s="349"/>
      <c r="BS66" s="349"/>
    </row>
    <row r="67" spans="1:71" x14ac:dyDescent="0.3">
      <c r="A67" s="349"/>
      <c r="B67" s="349"/>
      <c r="C67" s="349"/>
      <c r="D67" s="349"/>
      <c r="E67" s="349"/>
      <c r="F67" s="349"/>
      <c r="G67" s="349"/>
      <c r="H67" s="349"/>
      <c r="I67" s="349"/>
      <c r="J67" s="349"/>
      <c r="K67" s="349"/>
      <c r="L67" s="349"/>
      <c r="M67" s="349"/>
      <c r="N67" s="349"/>
      <c r="O67" s="349"/>
      <c r="P67" s="349"/>
      <c r="Q67" s="349"/>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c r="BR67" s="349"/>
      <c r="BS67" s="349"/>
    </row>
    <row r="68" spans="1:71" x14ac:dyDescent="0.3">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c r="AQ68" s="349"/>
      <c r="AR68" s="349"/>
      <c r="AS68" s="349"/>
      <c r="AT68" s="349"/>
      <c r="AU68" s="349"/>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row>
    <row r="69" spans="1:71" x14ac:dyDescent="0.3">
      <c r="A69" s="349"/>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row>
    <row r="70" spans="1:71" x14ac:dyDescent="0.3">
      <c r="A70" s="349"/>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c r="BR70" s="349"/>
      <c r="BS70" s="349"/>
    </row>
    <row r="71" spans="1:71" x14ac:dyDescent="0.3">
      <c r="A71" s="349"/>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c r="BR71" s="349"/>
      <c r="BS71" s="349"/>
    </row>
    <row r="72" spans="1:71" x14ac:dyDescent="0.3">
      <c r="A72" s="349"/>
      <c r="B72" s="349"/>
      <c r="C72" s="349"/>
      <c r="D72" s="349"/>
      <c r="E72" s="349"/>
      <c r="F72" s="349"/>
      <c r="G72" s="349"/>
      <c r="H72" s="349"/>
      <c r="I72" s="349"/>
      <c r="J72" s="349"/>
      <c r="K72" s="349"/>
      <c r="L72" s="349"/>
      <c r="M72" s="349"/>
      <c r="N72" s="349"/>
      <c r="O72" s="349"/>
      <c r="P72" s="349"/>
      <c r="Q72" s="349"/>
      <c r="R72" s="349"/>
      <c r="S72" s="349"/>
      <c r="T72" s="349"/>
      <c r="U72" s="349"/>
      <c r="V72" s="349"/>
      <c r="W72" s="349"/>
      <c r="X72" s="349"/>
      <c r="Y72" s="349"/>
      <c r="Z72" s="349"/>
      <c r="AA72" s="349"/>
      <c r="AB72" s="349"/>
      <c r="AC72" s="349"/>
      <c r="AD72" s="349"/>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c r="BR72" s="349"/>
      <c r="BS72" s="349"/>
    </row>
    <row r="73" spans="1:71" x14ac:dyDescent="0.3">
      <c r="A73" s="349"/>
      <c r="B73" s="349"/>
      <c r="C73" s="349"/>
      <c r="D73" s="349"/>
      <c r="E73" s="349"/>
      <c r="F73" s="349"/>
      <c r="G73" s="349"/>
      <c r="H73" s="349"/>
      <c r="I73" s="349"/>
      <c r="J73" s="349"/>
      <c r="K73" s="349"/>
      <c r="L73" s="349"/>
      <c r="M73" s="349"/>
      <c r="N73" s="349"/>
      <c r="O73" s="349"/>
      <c r="P73" s="349"/>
      <c r="Q73" s="349"/>
      <c r="R73" s="349"/>
      <c r="S73" s="349"/>
      <c r="T73" s="349"/>
      <c r="U73" s="349"/>
      <c r="V73" s="349"/>
      <c r="W73" s="349"/>
      <c r="X73" s="349"/>
      <c r="Y73" s="349"/>
      <c r="Z73" s="349"/>
      <c r="AA73" s="349"/>
      <c r="AB73" s="349"/>
      <c r="AC73" s="349"/>
      <c r="AD73" s="349"/>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c r="BR73" s="349"/>
      <c r="BS73" s="349"/>
    </row>
    <row r="74" spans="1:71" x14ac:dyDescent="0.3">
      <c r="A74" s="349"/>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c r="Z74" s="349"/>
      <c r="AA74" s="349"/>
      <c r="AB74" s="349"/>
      <c r="AC74" s="349"/>
      <c r="AD74" s="349"/>
      <c r="AE74" s="349"/>
      <c r="AF74" s="349"/>
      <c r="AG74" s="349"/>
      <c r="AH74" s="349"/>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row>
    <row r="75" spans="1:71" x14ac:dyDescent="0.3">
      <c r="A75" s="349"/>
      <c r="B75" s="349"/>
      <c r="C75" s="349"/>
      <c r="D75" s="349"/>
      <c r="E75" s="349"/>
      <c r="F75" s="349"/>
      <c r="G75" s="349"/>
      <c r="H75" s="349"/>
      <c r="I75" s="349"/>
      <c r="J75" s="349"/>
      <c r="K75" s="349"/>
      <c r="L75" s="349"/>
      <c r="M75" s="349"/>
      <c r="N75" s="349"/>
      <c r="O75" s="349"/>
      <c r="P75" s="349"/>
      <c r="Q75" s="349"/>
      <c r="R75" s="349"/>
      <c r="S75" s="349"/>
      <c r="T75" s="349"/>
      <c r="U75" s="349"/>
      <c r="V75" s="349"/>
      <c r="W75" s="349"/>
      <c r="X75" s="349"/>
      <c r="Y75" s="349"/>
      <c r="Z75" s="349"/>
      <c r="AA75" s="349"/>
      <c r="AB75" s="349"/>
      <c r="AC75" s="349"/>
      <c r="AD75" s="349"/>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row>
    <row r="76" spans="1:71" x14ac:dyDescent="0.3">
      <c r="A76" s="349"/>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c r="Z76" s="349"/>
      <c r="AA76" s="349"/>
      <c r="AB76" s="349"/>
      <c r="AC76" s="349"/>
      <c r="AD76" s="349"/>
      <c r="AE76" s="349"/>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row>
    <row r="77" spans="1:71" x14ac:dyDescent="0.3">
      <c r="A77" s="349"/>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c r="Z77" s="349"/>
      <c r="AA77" s="349"/>
      <c r="AB77" s="349"/>
      <c r="AC77" s="349"/>
      <c r="AD77" s="349"/>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c r="BR77" s="349"/>
      <c r="BS77" s="349"/>
    </row>
    <row r="78" spans="1:71" x14ac:dyDescent="0.3">
      <c r="A78" s="349"/>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c r="Z78" s="349"/>
      <c r="AA78" s="349"/>
      <c r="AB78" s="349"/>
      <c r="AC78" s="349"/>
      <c r="AD78" s="349"/>
      <c r="AE78" s="349"/>
      <c r="AF78" s="349"/>
      <c r="AG78" s="349"/>
      <c r="AH78" s="349"/>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c r="BR78" s="349"/>
      <c r="BS78" s="349"/>
    </row>
    <row r="79" spans="1:71" x14ac:dyDescent="0.3">
      <c r="A79" s="349"/>
      <c r="B79" s="349"/>
      <c r="C79" s="349"/>
      <c r="D79" s="349"/>
      <c r="E79" s="349"/>
      <c r="F79" s="349"/>
      <c r="G79" s="349"/>
      <c r="H79" s="349"/>
      <c r="I79" s="349"/>
      <c r="J79" s="349"/>
      <c r="K79" s="349"/>
      <c r="L79" s="349"/>
      <c r="M79" s="349"/>
      <c r="N79" s="349"/>
      <c r="O79" s="349"/>
      <c r="P79" s="349"/>
      <c r="Q79" s="349"/>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c r="BR79" s="349"/>
      <c r="BS79" s="349"/>
    </row>
    <row r="80" spans="1:71" x14ac:dyDescent="0.3">
      <c r="A80" s="349"/>
      <c r="B80" s="349"/>
      <c r="C80" s="349"/>
      <c r="D80" s="349"/>
      <c r="E80" s="349"/>
      <c r="F80" s="349"/>
      <c r="G80" s="349"/>
      <c r="H80" s="349"/>
      <c r="I80" s="349"/>
      <c r="J80" s="349"/>
      <c r="K80" s="349"/>
      <c r="L80" s="349"/>
      <c r="M80" s="349"/>
      <c r="N80" s="349"/>
      <c r="O80" s="349"/>
      <c r="P80" s="349"/>
      <c r="Q80" s="349"/>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c r="BO80" s="349"/>
      <c r="BP80" s="349"/>
      <c r="BQ80" s="349"/>
      <c r="BR80" s="349"/>
      <c r="BS80" s="349"/>
    </row>
    <row r="81" spans="1:71" x14ac:dyDescent="0.3">
      <c r="A81" s="349"/>
      <c r="B81" s="349"/>
      <c r="C81" s="349"/>
      <c r="D81" s="349"/>
      <c r="E81" s="349"/>
      <c r="F81" s="349"/>
      <c r="G81" s="349"/>
      <c r="H81" s="349"/>
      <c r="I81" s="349"/>
      <c r="J81" s="349"/>
      <c r="K81" s="349"/>
      <c r="L81" s="349"/>
      <c r="M81" s="349"/>
      <c r="N81" s="349"/>
      <c r="O81" s="349"/>
      <c r="P81" s="349"/>
      <c r="Q81" s="349"/>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c r="BR81" s="349"/>
      <c r="BS81" s="349"/>
    </row>
    <row r="82" spans="1:71" x14ac:dyDescent="0.3">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c r="Z82" s="349"/>
      <c r="AA82" s="349"/>
      <c r="AB82" s="349"/>
      <c r="AC82" s="349"/>
      <c r="AD82" s="349"/>
      <c r="AE82" s="349"/>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c r="BR82" s="349"/>
      <c r="BS82" s="349"/>
    </row>
    <row r="83" spans="1:71" x14ac:dyDescent="0.3">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c r="Z83" s="349"/>
      <c r="AA83" s="349"/>
      <c r="AB83" s="349"/>
      <c r="AC83" s="349"/>
      <c r="AD83" s="349"/>
      <c r="AE83" s="349"/>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row>
    <row r="84" spans="1:71" x14ac:dyDescent="0.3">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c r="Z84" s="349"/>
      <c r="AA84" s="349"/>
      <c r="AB84" s="349"/>
      <c r="AC84" s="349"/>
      <c r="AD84" s="349"/>
      <c r="AE84" s="349"/>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c r="BO84" s="349"/>
      <c r="BP84" s="349"/>
      <c r="BQ84" s="349"/>
      <c r="BR84" s="349"/>
      <c r="BS84" s="349"/>
    </row>
    <row r="85" spans="1:71" x14ac:dyDescent="0.3">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c r="Z85" s="349"/>
      <c r="AA85" s="349"/>
      <c r="AB85" s="349"/>
      <c r="AC85" s="349"/>
      <c r="AD85" s="349"/>
      <c r="AE85" s="349"/>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c r="BQ85" s="349"/>
      <c r="BR85" s="349"/>
      <c r="BS85" s="349"/>
    </row>
    <row r="86" spans="1:71" x14ac:dyDescent="0.3">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c r="BR86" s="349"/>
      <c r="BS86" s="349"/>
    </row>
    <row r="87" spans="1:71" x14ac:dyDescent="0.3">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c r="BO87" s="349"/>
      <c r="BP87" s="349"/>
      <c r="BQ87" s="349"/>
      <c r="BR87" s="349"/>
      <c r="BS87" s="349"/>
    </row>
    <row r="88" spans="1:71" x14ac:dyDescent="0.3">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c r="BO88" s="349"/>
      <c r="BP88" s="349"/>
      <c r="BQ88" s="349"/>
      <c r="BR88" s="349"/>
      <c r="BS88" s="349"/>
    </row>
    <row r="89" spans="1:71" x14ac:dyDescent="0.3">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c r="BO89" s="349"/>
      <c r="BP89" s="349"/>
      <c r="BQ89" s="349"/>
      <c r="BR89" s="349"/>
      <c r="BS89" s="349"/>
    </row>
    <row r="90" spans="1:71" x14ac:dyDescent="0.3">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c r="BO90" s="349"/>
      <c r="BP90" s="349"/>
      <c r="BQ90" s="349"/>
      <c r="BR90" s="349"/>
      <c r="BS90" s="349"/>
    </row>
    <row r="91" spans="1:71" x14ac:dyDescent="0.3">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c r="BO91" s="349"/>
      <c r="BP91" s="349"/>
      <c r="BQ91" s="349"/>
      <c r="BR91" s="349"/>
      <c r="BS91" s="349"/>
    </row>
    <row r="92" spans="1:71" x14ac:dyDescent="0.3">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c r="BO92" s="349"/>
      <c r="BP92" s="349"/>
      <c r="BQ92" s="349"/>
      <c r="BR92" s="349"/>
      <c r="BS92" s="349"/>
    </row>
    <row r="93" spans="1:71" x14ac:dyDescent="0.3">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c r="BO93" s="349"/>
      <c r="BP93" s="349"/>
      <c r="BQ93" s="349"/>
      <c r="BR93" s="349"/>
      <c r="BS93" s="349"/>
    </row>
    <row r="94" spans="1:71" x14ac:dyDescent="0.3">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c r="BR94" s="349"/>
      <c r="BS94" s="349"/>
    </row>
    <row r="95" spans="1:71" x14ac:dyDescent="0.3">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c r="BO95" s="349"/>
      <c r="BP95" s="349"/>
      <c r="BQ95" s="349"/>
      <c r="BR95" s="349"/>
      <c r="BS95" s="349"/>
    </row>
    <row r="96" spans="1:71" x14ac:dyDescent="0.3">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c r="BO96" s="349"/>
      <c r="BP96" s="349"/>
      <c r="BQ96" s="349"/>
      <c r="BR96" s="349"/>
      <c r="BS96" s="349"/>
    </row>
    <row r="97" spans="1:71" x14ac:dyDescent="0.3">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c r="BO97" s="349"/>
      <c r="BP97" s="349"/>
      <c r="BQ97" s="349"/>
      <c r="BR97" s="349"/>
      <c r="BS97" s="349"/>
    </row>
    <row r="98" spans="1:71" x14ac:dyDescent="0.3">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c r="BR98" s="349"/>
      <c r="BS98" s="349"/>
    </row>
    <row r="99" spans="1:71" x14ac:dyDescent="0.3">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c r="BO99" s="349"/>
      <c r="BP99" s="349"/>
      <c r="BQ99" s="349"/>
      <c r="BR99" s="349"/>
      <c r="BS99" s="349"/>
    </row>
    <row r="100" spans="1:71" x14ac:dyDescent="0.3">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c r="BO100" s="349"/>
      <c r="BP100" s="349"/>
      <c r="BQ100" s="349"/>
      <c r="BR100" s="349"/>
      <c r="BS100" s="349"/>
    </row>
    <row r="101" spans="1:71" x14ac:dyDescent="0.3">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c r="BR101" s="349"/>
      <c r="BS101" s="349"/>
    </row>
    <row r="102" spans="1:71" x14ac:dyDescent="0.3">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c r="BO102" s="349"/>
      <c r="BP102" s="349"/>
      <c r="BQ102" s="349"/>
      <c r="BR102" s="349"/>
      <c r="BS102" s="349"/>
    </row>
    <row r="103" spans="1:71" x14ac:dyDescent="0.3">
      <c r="A103" s="349"/>
      <c r="B103" s="349"/>
      <c r="C103" s="349"/>
      <c r="D103" s="349"/>
      <c r="E103" s="349"/>
      <c r="F103" s="349"/>
      <c r="G103" s="349"/>
      <c r="H103" s="349"/>
      <c r="I103" s="349"/>
      <c r="J103" s="349"/>
      <c r="K103" s="349"/>
      <c r="L103" s="349"/>
      <c r="M103" s="349"/>
      <c r="N103" s="349"/>
      <c r="O103" s="349"/>
      <c r="P103" s="349"/>
      <c r="Q103" s="349"/>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c r="BO103" s="349"/>
      <c r="BP103" s="349"/>
      <c r="BQ103" s="349"/>
      <c r="BR103" s="349"/>
      <c r="BS103" s="349"/>
    </row>
    <row r="104" spans="1:71" x14ac:dyDescent="0.3">
      <c r="A104" s="349"/>
      <c r="B104" s="349"/>
      <c r="C104" s="349"/>
      <c r="D104" s="349"/>
      <c r="E104" s="349"/>
      <c r="F104" s="349"/>
      <c r="G104" s="349"/>
      <c r="H104" s="349"/>
      <c r="I104" s="349"/>
      <c r="J104" s="349"/>
      <c r="K104" s="349"/>
      <c r="L104" s="349"/>
      <c r="M104" s="349"/>
      <c r="N104" s="349"/>
      <c r="O104" s="349"/>
      <c r="P104" s="349"/>
      <c r="Q104" s="349"/>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c r="BO104" s="349"/>
      <c r="BP104" s="349"/>
      <c r="BQ104" s="349"/>
      <c r="BR104" s="349"/>
      <c r="BS104" s="349"/>
    </row>
    <row r="105" spans="1:71" x14ac:dyDescent="0.3">
      <c r="A105" s="349"/>
      <c r="B105" s="349"/>
      <c r="C105" s="349"/>
      <c r="D105" s="349"/>
      <c r="E105" s="349"/>
      <c r="F105" s="349"/>
      <c r="G105" s="349"/>
      <c r="H105" s="349"/>
      <c r="I105" s="349"/>
      <c r="J105" s="349"/>
      <c r="K105" s="349"/>
      <c r="L105" s="349"/>
      <c r="M105" s="349"/>
      <c r="N105" s="349"/>
      <c r="O105" s="349"/>
      <c r="P105" s="349"/>
      <c r="Q105" s="349"/>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c r="BO105" s="349"/>
      <c r="BP105" s="349"/>
      <c r="BQ105" s="349"/>
      <c r="BR105" s="349"/>
      <c r="BS105" s="349"/>
    </row>
    <row r="106" spans="1:71" x14ac:dyDescent="0.3">
      <c r="A106" s="349"/>
      <c r="B106" s="349"/>
      <c r="C106" s="349"/>
      <c r="D106" s="349"/>
      <c r="E106" s="349"/>
      <c r="F106" s="349"/>
      <c r="G106" s="349"/>
      <c r="H106" s="349"/>
      <c r="I106" s="349"/>
      <c r="J106" s="349"/>
      <c r="K106" s="349"/>
      <c r="L106" s="349"/>
      <c r="M106" s="349"/>
      <c r="N106" s="349"/>
      <c r="O106" s="349"/>
      <c r="P106" s="349"/>
      <c r="Q106" s="349"/>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c r="BO106" s="349"/>
      <c r="BP106" s="349"/>
      <c r="BQ106" s="349"/>
      <c r="BR106" s="349"/>
      <c r="BS106" s="349"/>
    </row>
    <row r="107" spans="1:71" x14ac:dyDescent="0.3">
      <c r="A107" s="349"/>
      <c r="B107" s="349"/>
      <c r="C107" s="349"/>
      <c r="D107" s="349"/>
      <c r="E107" s="349"/>
      <c r="F107" s="349"/>
      <c r="G107" s="349"/>
      <c r="H107" s="349"/>
      <c r="I107" s="349"/>
      <c r="J107" s="349"/>
      <c r="K107" s="349"/>
      <c r="L107" s="349"/>
      <c r="M107" s="349"/>
      <c r="N107" s="349"/>
      <c r="O107" s="349"/>
      <c r="P107" s="349"/>
      <c r="Q107" s="349"/>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c r="BO107" s="349"/>
      <c r="BP107" s="349"/>
      <c r="BQ107" s="349"/>
      <c r="BR107" s="349"/>
      <c r="BS107" s="349"/>
    </row>
    <row r="108" spans="1:71" x14ac:dyDescent="0.3">
      <c r="A108" s="349"/>
      <c r="B108" s="349"/>
      <c r="C108" s="349"/>
      <c r="D108" s="349"/>
      <c r="E108" s="349"/>
      <c r="F108" s="349"/>
      <c r="G108" s="349"/>
      <c r="H108" s="349"/>
      <c r="I108" s="349"/>
      <c r="J108" s="349"/>
      <c r="K108" s="349"/>
      <c r="L108" s="349"/>
      <c r="M108" s="349"/>
      <c r="N108" s="349"/>
      <c r="O108" s="349"/>
      <c r="P108" s="349"/>
      <c r="Q108" s="349"/>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c r="BO108" s="349"/>
      <c r="BP108" s="349"/>
      <c r="BQ108" s="349"/>
      <c r="BR108" s="349"/>
      <c r="BS108" s="349"/>
    </row>
    <row r="109" spans="1:71" x14ac:dyDescent="0.3">
      <c r="A109" s="349"/>
      <c r="B109" s="349"/>
      <c r="C109" s="349"/>
      <c r="D109" s="349"/>
      <c r="E109" s="349"/>
      <c r="F109" s="349"/>
      <c r="G109" s="349"/>
      <c r="H109" s="349"/>
      <c r="I109" s="349"/>
      <c r="J109" s="349"/>
      <c r="K109" s="349"/>
      <c r="L109" s="349"/>
      <c r="M109" s="349"/>
      <c r="N109" s="349"/>
      <c r="O109" s="349"/>
      <c r="P109" s="349"/>
      <c r="Q109" s="349"/>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c r="BO109" s="349"/>
      <c r="BP109" s="349"/>
      <c r="BQ109" s="349"/>
      <c r="BR109" s="349"/>
      <c r="BS109" s="349"/>
    </row>
    <row r="110" spans="1:71" x14ac:dyDescent="0.3">
      <c r="A110" s="349"/>
      <c r="B110" s="349"/>
      <c r="C110" s="349"/>
      <c r="D110" s="349"/>
      <c r="E110" s="349"/>
      <c r="F110" s="349"/>
      <c r="G110" s="349"/>
      <c r="H110" s="349"/>
      <c r="I110" s="349"/>
      <c r="J110" s="349"/>
      <c r="K110" s="349"/>
      <c r="L110" s="349"/>
      <c r="M110" s="349"/>
      <c r="N110" s="349"/>
      <c r="O110" s="349"/>
      <c r="P110" s="349"/>
      <c r="Q110" s="349"/>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c r="BO110" s="349"/>
      <c r="BP110" s="349"/>
      <c r="BQ110" s="349"/>
      <c r="BR110" s="349"/>
      <c r="BS110" s="349"/>
    </row>
    <row r="111" spans="1:71" x14ac:dyDescent="0.3">
      <c r="A111" s="349"/>
      <c r="B111" s="349"/>
      <c r="C111" s="349"/>
      <c r="D111" s="349"/>
      <c r="E111" s="349"/>
      <c r="F111" s="349"/>
      <c r="G111" s="349"/>
      <c r="H111" s="349"/>
      <c r="I111" s="349"/>
      <c r="J111" s="349"/>
      <c r="K111" s="349"/>
      <c r="L111" s="349"/>
      <c r="M111" s="349"/>
      <c r="N111" s="349"/>
      <c r="O111" s="349"/>
      <c r="P111" s="349"/>
      <c r="Q111" s="349"/>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c r="BO111" s="349"/>
      <c r="BP111" s="349"/>
      <c r="BQ111" s="349"/>
      <c r="BR111" s="349"/>
      <c r="BS111" s="349"/>
    </row>
    <row r="112" spans="1:71" x14ac:dyDescent="0.3">
      <c r="A112" s="349"/>
      <c r="B112" s="349"/>
      <c r="C112" s="349"/>
      <c r="D112" s="349"/>
      <c r="E112" s="349"/>
      <c r="F112" s="349"/>
      <c r="G112" s="349"/>
      <c r="H112" s="349"/>
      <c r="I112" s="349"/>
      <c r="J112" s="349"/>
      <c r="K112" s="349"/>
      <c r="L112" s="349"/>
      <c r="M112" s="349"/>
      <c r="N112" s="349"/>
      <c r="O112" s="349"/>
      <c r="P112" s="349"/>
      <c r="Q112" s="349"/>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c r="BO112" s="349"/>
      <c r="BP112" s="349"/>
      <c r="BQ112" s="349"/>
      <c r="BR112" s="349"/>
      <c r="BS112" s="349"/>
    </row>
    <row r="113" spans="1:71" x14ac:dyDescent="0.3">
      <c r="A113" s="349"/>
      <c r="B113" s="349"/>
      <c r="C113" s="349"/>
      <c r="D113" s="349"/>
      <c r="E113" s="349"/>
      <c r="F113" s="349"/>
      <c r="G113" s="349"/>
      <c r="H113" s="349"/>
      <c r="I113" s="349"/>
      <c r="J113" s="349"/>
      <c r="K113" s="349"/>
      <c r="L113" s="349"/>
      <c r="M113" s="349"/>
      <c r="N113" s="349"/>
      <c r="O113" s="349"/>
      <c r="P113" s="349"/>
      <c r="Q113" s="349"/>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c r="BO113" s="349"/>
      <c r="BP113" s="349"/>
      <c r="BQ113" s="349"/>
      <c r="BR113" s="349"/>
      <c r="BS113" s="349"/>
    </row>
    <row r="114" spans="1:71" x14ac:dyDescent="0.3">
      <c r="A114" s="349"/>
      <c r="B114" s="349"/>
      <c r="C114" s="349"/>
      <c r="D114" s="349"/>
      <c r="E114" s="349"/>
      <c r="F114" s="349"/>
      <c r="G114" s="349"/>
      <c r="H114" s="349"/>
      <c r="I114" s="349"/>
      <c r="J114" s="349"/>
      <c r="K114" s="349"/>
      <c r="L114" s="349"/>
      <c r="M114" s="349"/>
      <c r="N114" s="349"/>
      <c r="O114" s="349"/>
      <c r="P114" s="349"/>
      <c r="Q114" s="349"/>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c r="BR114" s="349"/>
      <c r="BS114" s="349"/>
    </row>
    <row r="115" spans="1:71" x14ac:dyDescent="0.3">
      <c r="A115" s="349"/>
      <c r="B115" s="349"/>
      <c r="C115" s="349"/>
      <c r="D115" s="349"/>
      <c r="E115" s="349"/>
      <c r="F115" s="349"/>
      <c r="G115" s="349"/>
      <c r="H115" s="349"/>
      <c r="I115" s="349"/>
      <c r="J115" s="349"/>
      <c r="K115" s="349"/>
      <c r="L115" s="349"/>
      <c r="M115" s="349"/>
      <c r="N115" s="349"/>
      <c r="O115" s="349"/>
      <c r="P115" s="349"/>
      <c r="Q115" s="349"/>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c r="BO115" s="349"/>
      <c r="BP115" s="349"/>
      <c r="BQ115" s="349"/>
      <c r="BR115" s="349"/>
      <c r="BS115" s="349"/>
    </row>
    <row r="116" spans="1:71" x14ac:dyDescent="0.3">
      <c r="A116" s="349"/>
      <c r="B116" s="349"/>
      <c r="C116" s="349"/>
      <c r="D116" s="349"/>
      <c r="E116" s="349"/>
      <c r="F116" s="349"/>
      <c r="G116" s="349"/>
      <c r="H116" s="349"/>
      <c r="I116" s="349"/>
      <c r="J116" s="349"/>
      <c r="K116" s="349"/>
      <c r="L116" s="349"/>
      <c r="M116" s="349"/>
      <c r="N116" s="349"/>
      <c r="O116" s="349"/>
      <c r="P116" s="349"/>
      <c r="Q116" s="349"/>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c r="BO116" s="349"/>
      <c r="BP116" s="349"/>
      <c r="BQ116" s="349"/>
      <c r="BR116" s="349"/>
      <c r="BS116" s="349"/>
    </row>
    <row r="117" spans="1:71" x14ac:dyDescent="0.3">
      <c r="A117" s="349"/>
      <c r="B117" s="349"/>
      <c r="C117" s="349"/>
      <c r="D117" s="349"/>
      <c r="E117" s="349"/>
      <c r="F117" s="349"/>
      <c r="G117" s="349"/>
      <c r="H117" s="349"/>
      <c r="I117" s="349"/>
      <c r="J117" s="349"/>
      <c r="K117" s="349"/>
      <c r="L117" s="349"/>
      <c r="M117" s="349"/>
      <c r="N117" s="349"/>
      <c r="O117" s="349"/>
      <c r="P117" s="349"/>
      <c r="Q117" s="349"/>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c r="BR117" s="349"/>
      <c r="BS117" s="349"/>
    </row>
    <row r="118" spans="1:71" x14ac:dyDescent="0.3">
      <c r="A118" s="349"/>
      <c r="B118" s="349"/>
      <c r="C118" s="349"/>
      <c r="D118" s="349"/>
      <c r="E118" s="349"/>
      <c r="F118" s="349"/>
      <c r="G118" s="349"/>
      <c r="H118" s="349"/>
      <c r="I118" s="349"/>
      <c r="J118" s="349"/>
      <c r="K118" s="349"/>
      <c r="L118" s="349"/>
      <c r="M118" s="349"/>
      <c r="N118" s="349"/>
      <c r="O118" s="349"/>
      <c r="P118" s="349"/>
      <c r="Q118" s="349"/>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c r="BR118" s="349"/>
      <c r="BS118" s="349"/>
    </row>
    <row r="119" spans="1:71" x14ac:dyDescent="0.3">
      <c r="A119" s="349"/>
      <c r="B119" s="349"/>
      <c r="C119" s="349"/>
      <c r="D119" s="349"/>
      <c r="E119" s="349"/>
      <c r="F119" s="349"/>
      <c r="G119" s="349"/>
      <c r="H119" s="349"/>
      <c r="I119" s="349"/>
      <c r="J119" s="349"/>
      <c r="K119" s="349"/>
      <c r="L119" s="349"/>
      <c r="M119" s="349"/>
      <c r="N119" s="349"/>
      <c r="O119" s="349"/>
      <c r="P119" s="349"/>
      <c r="Q119" s="349"/>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c r="BR119" s="349"/>
      <c r="BS119" s="349"/>
    </row>
    <row r="120" spans="1:71" x14ac:dyDescent="0.3">
      <c r="A120" s="349"/>
      <c r="B120" s="349"/>
      <c r="C120" s="349"/>
      <c r="D120" s="349"/>
      <c r="E120" s="349"/>
      <c r="F120" s="349"/>
      <c r="G120" s="349"/>
      <c r="H120" s="349"/>
      <c r="I120" s="349"/>
      <c r="J120" s="349"/>
      <c r="K120" s="349"/>
      <c r="L120" s="349"/>
      <c r="M120" s="349"/>
      <c r="N120" s="349"/>
      <c r="O120" s="349"/>
      <c r="P120" s="349"/>
      <c r="Q120" s="349"/>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c r="BR120" s="349"/>
      <c r="BS120" s="349"/>
    </row>
    <row r="121" spans="1:71" x14ac:dyDescent="0.3">
      <c r="A121" s="349"/>
      <c r="B121" s="349"/>
      <c r="C121" s="349"/>
      <c r="D121" s="349"/>
      <c r="E121" s="349"/>
      <c r="F121" s="349"/>
      <c r="G121" s="349"/>
      <c r="H121" s="349"/>
      <c r="I121" s="349"/>
      <c r="J121" s="349"/>
      <c r="K121" s="349"/>
      <c r="L121" s="349"/>
      <c r="M121" s="349"/>
      <c r="N121" s="349"/>
      <c r="O121" s="349"/>
      <c r="P121" s="349"/>
      <c r="Q121" s="349"/>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c r="BR121" s="349"/>
      <c r="BS121" s="349"/>
    </row>
    <row r="122" spans="1:71" x14ac:dyDescent="0.3">
      <c r="A122" s="349"/>
      <c r="B122" s="349"/>
      <c r="C122" s="349"/>
      <c r="D122" s="349"/>
      <c r="E122" s="349"/>
      <c r="F122" s="349"/>
      <c r="G122" s="349"/>
      <c r="H122" s="349"/>
      <c r="I122" s="349"/>
      <c r="J122" s="349"/>
      <c r="K122" s="349"/>
      <c r="L122" s="349"/>
      <c r="M122" s="349"/>
      <c r="N122" s="349"/>
      <c r="O122" s="349"/>
      <c r="P122" s="349"/>
      <c r="Q122" s="349"/>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c r="BR122" s="349"/>
      <c r="BS122" s="349"/>
    </row>
    <row r="123" spans="1:71" x14ac:dyDescent="0.3">
      <c r="A123" s="349"/>
      <c r="B123" s="349"/>
      <c r="C123" s="349"/>
      <c r="D123" s="349"/>
      <c r="E123" s="349"/>
      <c r="F123" s="349"/>
      <c r="G123" s="349"/>
      <c r="H123" s="349"/>
      <c r="I123" s="349"/>
      <c r="J123" s="349"/>
      <c r="K123" s="349"/>
      <c r="L123" s="349"/>
      <c r="M123" s="349"/>
      <c r="N123" s="349"/>
      <c r="O123" s="349"/>
      <c r="P123" s="349"/>
      <c r="Q123" s="349"/>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c r="BR123" s="349"/>
      <c r="BS123" s="349"/>
    </row>
    <row r="124" spans="1:71" x14ac:dyDescent="0.3">
      <c r="A124" s="349"/>
      <c r="B124" s="349"/>
      <c r="C124" s="349"/>
      <c r="D124" s="349"/>
      <c r="E124" s="349"/>
      <c r="F124" s="349"/>
      <c r="G124" s="349"/>
      <c r="H124" s="349"/>
      <c r="I124" s="349"/>
      <c r="J124" s="349"/>
      <c r="K124" s="349"/>
      <c r="L124" s="349"/>
      <c r="M124" s="349"/>
      <c r="N124" s="349"/>
      <c r="O124" s="349"/>
      <c r="P124" s="349"/>
      <c r="Q124" s="349"/>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c r="BR124" s="349"/>
      <c r="BS124" s="349"/>
    </row>
    <row r="125" spans="1:71" x14ac:dyDescent="0.3">
      <c r="A125" s="349"/>
      <c r="B125" s="349"/>
      <c r="C125" s="349"/>
      <c r="D125" s="349"/>
      <c r="E125" s="349"/>
      <c r="F125" s="349"/>
      <c r="G125" s="349"/>
      <c r="H125" s="349"/>
      <c r="I125" s="349"/>
      <c r="J125" s="349"/>
      <c r="K125" s="349"/>
      <c r="L125" s="349"/>
      <c r="M125" s="349"/>
      <c r="N125" s="349"/>
      <c r="O125" s="349"/>
      <c r="P125" s="349"/>
      <c r="Q125" s="349"/>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c r="BO125" s="349"/>
      <c r="BP125" s="349"/>
      <c r="BQ125" s="349"/>
      <c r="BR125" s="349"/>
      <c r="BS125" s="349"/>
    </row>
    <row r="126" spans="1:71" x14ac:dyDescent="0.3">
      <c r="A126" s="349"/>
      <c r="B126" s="349"/>
      <c r="C126" s="349"/>
      <c r="D126" s="349"/>
      <c r="E126" s="349"/>
      <c r="F126" s="349"/>
      <c r="G126" s="349"/>
      <c r="H126" s="349"/>
      <c r="I126" s="349"/>
      <c r="J126" s="349"/>
      <c r="K126" s="349"/>
      <c r="L126" s="349"/>
      <c r="M126" s="349"/>
      <c r="N126" s="349"/>
      <c r="O126" s="349"/>
      <c r="P126" s="349"/>
      <c r="Q126" s="349"/>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c r="BO126" s="349"/>
      <c r="BP126" s="349"/>
      <c r="BQ126" s="349"/>
      <c r="BR126" s="349"/>
      <c r="BS126" s="349"/>
    </row>
    <row r="127" spans="1:71" x14ac:dyDescent="0.3">
      <c r="A127" s="349"/>
      <c r="B127" s="349"/>
      <c r="C127" s="349"/>
      <c r="D127" s="349"/>
      <c r="E127" s="349"/>
      <c r="F127" s="349"/>
      <c r="G127" s="349"/>
      <c r="H127" s="349"/>
      <c r="I127" s="349"/>
      <c r="J127" s="349"/>
      <c r="K127" s="349"/>
      <c r="L127" s="349"/>
      <c r="M127" s="349"/>
      <c r="N127" s="349"/>
      <c r="O127" s="349"/>
      <c r="P127" s="349"/>
      <c r="Q127" s="349"/>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c r="BO127" s="349"/>
      <c r="BP127" s="349"/>
      <c r="BQ127" s="349"/>
      <c r="BR127" s="349"/>
      <c r="BS127" s="349"/>
    </row>
    <row r="128" spans="1:71" x14ac:dyDescent="0.3">
      <c r="A128" s="349"/>
      <c r="B128" s="349"/>
      <c r="C128" s="349"/>
      <c r="D128" s="349"/>
      <c r="E128" s="349"/>
      <c r="F128" s="349"/>
      <c r="G128" s="349"/>
      <c r="H128" s="349"/>
      <c r="I128" s="349"/>
      <c r="J128" s="349"/>
      <c r="K128" s="349"/>
      <c r="L128" s="349"/>
      <c r="M128" s="349"/>
      <c r="N128" s="349"/>
      <c r="O128" s="349"/>
      <c r="P128" s="349"/>
      <c r="Q128" s="349"/>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c r="BO128" s="349"/>
      <c r="BP128" s="349"/>
      <c r="BQ128" s="349"/>
      <c r="BR128" s="349"/>
      <c r="BS128" s="349"/>
    </row>
    <row r="129" spans="1:71" x14ac:dyDescent="0.3">
      <c r="A129" s="349"/>
      <c r="B129" s="349"/>
      <c r="C129" s="349"/>
      <c r="D129" s="349"/>
      <c r="E129" s="349"/>
      <c r="F129" s="349"/>
      <c r="G129" s="349"/>
      <c r="H129" s="349"/>
      <c r="I129" s="349"/>
      <c r="J129" s="349"/>
      <c r="K129" s="349"/>
      <c r="L129" s="349"/>
      <c r="M129" s="349"/>
      <c r="N129" s="349"/>
      <c r="O129" s="349"/>
      <c r="P129" s="349"/>
      <c r="Q129" s="349"/>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c r="BO129" s="349"/>
      <c r="BP129" s="349"/>
      <c r="BQ129" s="349"/>
      <c r="BR129" s="349"/>
      <c r="BS129" s="349"/>
    </row>
    <row r="130" spans="1:71" x14ac:dyDescent="0.3">
      <c r="A130" s="349"/>
      <c r="B130" s="349"/>
      <c r="C130" s="349"/>
      <c r="D130" s="349"/>
      <c r="E130" s="349"/>
      <c r="F130" s="349"/>
      <c r="G130" s="349"/>
      <c r="H130" s="349"/>
      <c r="I130" s="349"/>
      <c r="J130" s="349"/>
      <c r="K130" s="349"/>
      <c r="L130" s="349"/>
      <c r="M130" s="349"/>
      <c r="N130" s="349"/>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c r="BO130" s="349"/>
      <c r="BP130" s="349"/>
      <c r="BQ130" s="349"/>
      <c r="BR130" s="349"/>
      <c r="BS130" s="349"/>
    </row>
    <row r="131" spans="1:71" x14ac:dyDescent="0.3">
      <c r="A131" s="349"/>
      <c r="B131" s="349"/>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c r="BO131" s="349"/>
      <c r="BP131" s="349"/>
      <c r="BQ131" s="349"/>
      <c r="BR131" s="349"/>
      <c r="BS131" s="349"/>
    </row>
    <row r="132" spans="1:71" x14ac:dyDescent="0.3">
      <c r="A132" s="349"/>
      <c r="B132" s="349"/>
      <c r="C132" s="349"/>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c r="BO132" s="349"/>
      <c r="BP132" s="349"/>
      <c r="BQ132" s="349"/>
      <c r="BR132" s="349"/>
      <c r="BS132" s="349"/>
    </row>
    <row r="133" spans="1:71" x14ac:dyDescent="0.3">
      <c r="A133" s="349"/>
      <c r="B133" s="349"/>
      <c r="C133" s="349"/>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c r="BO133" s="349"/>
      <c r="BP133" s="349"/>
      <c r="BQ133" s="349"/>
      <c r="BR133" s="349"/>
      <c r="BS133" s="349"/>
    </row>
    <row r="134" spans="1:71" x14ac:dyDescent="0.3">
      <c r="A134" s="349"/>
      <c r="B134" s="349"/>
      <c r="C134" s="349"/>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c r="BO134" s="349"/>
      <c r="BP134" s="349"/>
      <c r="BQ134" s="349"/>
      <c r="BR134" s="349"/>
      <c r="BS134" s="349"/>
    </row>
    <row r="135" spans="1:71" x14ac:dyDescent="0.3">
      <c r="A135" s="349"/>
      <c r="B135" s="349"/>
      <c r="C135" s="349"/>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c r="BO135" s="349"/>
      <c r="BP135" s="349"/>
      <c r="BQ135" s="349"/>
      <c r="BR135" s="349"/>
      <c r="BS135" s="349"/>
    </row>
    <row r="136" spans="1:71" x14ac:dyDescent="0.3">
      <c r="A136" s="349"/>
      <c r="B136" s="349"/>
      <c r="C136" s="349"/>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c r="BO136" s="349"/>
      <c r="BP136" s="349"/>
      <c r="BQ136" s="349"/>
      <c r="BR136" s="349"/>
      <c r="BS136" s="349"/>
    </row>
    <row r="137" spans="1:71" x14ac:dyDescent="0.3">
      <c r="A137" s="349"/>
      <c r="B137" s="349"/>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c r="BO137" s="349"/>
      <c r="BP137" s="349"/>
      <c r="BQ137" s="349"/>
      <c r="BR137" s="349"/>
      <c r="BS137" s="349"/>
    </row>
    <row r="138" spans="1:71" x14ac:dyDescent="0.3">
      <c r="A138" s="349"/>
      <c r="B138" s="349"/>
      <c r="C138" s="349"/>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c r="BO138" s="349"/>
      <c r="BP138" s="349"/>
      <c r="BQ138" s="349"/>
      <c r="BR138" s="349"/>
      <c r="BS138" s="349"/>
    </row>
    <row r="139" spans="1:71" x14ac:dyDescent="0.3">
      <c r="A139" s="349"/>
      <c r="B139" s="349"/>
      <c r="C139" s="349"/>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c r="BO139" s="349"/>
      <c r="BP139" s="349"/>
      <c r="BQ139" s="349"/>
      <c r="BR139" s="349"/>
      <c r="BS139" s="349"/>
    </row>
    <row r="140" spans="1:71" x14ac:dyDescent="0.3">
      <c r="A140" s="349"/>
      <c r="B140" s="349"/>
      <c r="C140" s="349"/>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c r="BO140" s="349"/>
      <c r="BP140" s="349"/>
      <c r="BQ140" s="349"/>
      <c r="BR140" s="349"/>
      <c r="BS140" s="349"/>
    </row>
    <row r="141" spans="1:71" x14ac:dyDescent="0.3">
      <c r="A141" s="349"/>
      <c r="B141" s="349"/>
      <c r="C141" s="349"/>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c r="BO141" s="349"/>
      <c r="BP141" s="349"/>
      <c r="BQ141" s="349"/>
      <c r="BR141" s="349"/>
      <c r="BS141" s="349"/>
    </row>
    <row r="142" spans="1:71" x14ac:dyDescent="0.3">
      <c r="A142" s="349"/>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c r="BO142" s="349"/>
      <c r="BP142" s="349"/>
      <c r="BQ142" s="349"/>
      <c r="BR142" s="349"/>
      <c r="BS142" s="349"/>
    </row>
    <row r="143" spans="1:71" x14ac:dyDescent="0.3">
      <c r="A143" s="349"/>
      <c r="B143" s="349"/>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c r="BO143" s="349"/>
      <c r="BP143" s="349"/>
      <c r="BQ143" s="349"/>
      <c r="BR143" s="349"/>
      <c r="BS143" s="349"/>
    </row>
    <row r="144" spans="1:71" x14ac:dyDescent="0.3">
      <c r="A144" s="349"/>
      <c r="B144" s="349"/>
      <c r="C144" s="349"/>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c r="BR144" s="349"/>
      <c r="BS144" s="349"/>
    </row>
    <row r="145" spans="1:71" x14ac:dyDescent="0.3">
      <c r="A145" s="349"/>
      <c r="B145" s="349"/>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c r="BR145" s="349"/>
      <c r="BS145" s="349"/>
    </row>
    <row r="146" spans="1:71" x14ac:dyDescent="0.3">
      <c r="A146" s="349"/>
      <c r="B146" s="349"/>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c r="BR146" s="349"/>
      <c r="BS146" s="349"/>
    </row>
    <row r="147" spans="1:71" x14ac:dyDescent="0.3">
      <c r="A147" s="349"/>
      <c r="B147" s="349"/>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c r="BO147" s="349"/>
      <c r="BP147" s="349"/>
      <c r="BQ147" s="349"/>
      <c r="BR147" s="349"/>
      <c r="BS147" s="349"/>
    </row>
    <row r="148" spans="1:71" x14ac:dyDescent="0.3">
      <c r="A148" s="349"/>
      <c r="B148" s="349"/>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c r="BO148" s="349"/>
      <c r="BP148" s="349"/>
      <c r="BQ148" s="349"/>
      <c r="BR148" s="349"/>
      <c r="BS148" s="349"/>
    </row>
    <row r="149" spans="1:71" x14ac:dyDescent="0.3">
      <c r="A149" s="349"/>
      <c r="B149" s="349"/>
      <c r="C149" s="349"/>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c r="BO149" s="349"/>
      <c r="BP149" s="349"/>
      <c r="BQ149" s="349"/>
      <c r="BR149" s="349"/>
      <c r="BS149" s="349"/>
    </row>
    <row r="150" spans="1:71" x14ac:dyDescent="0.3">
      <c r="A150" s="349"/>
      <c r="B150" s="349"/>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c r="BO150" s="349"/>
      <c r="BP150" s="349"/>
      <c r="BQ150" s="349"/>
      <c r="BR150" s="349"/>
      <c r="BS150" s="349"/>
    </row>
    <row r="151" spans="1:71" x14ac:dyDescent="0.3">
      <c r="A151" s="349"/>
      <c r="B151" s="349"/>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c r="BO151" s="349"/>
      <c r="BP151" s="349"/>
      <c r="BQ151" s="349"/>
      <c r="BR151" s="349"/>
      <c r="BS151" s="349"/>
    </row>
    <row r="152" spans="1:71" x14ac:dyDescent="0.3">
      <c r="A152" s="349"/>
      <c r="B152" s="349"/>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c r="BO152" s="349"/>
      <c r="BP152" s="349"/>
      <c r="BQ152" s="349"/>
      <c r="BR152" s="349"/>
      <c r="BS152" s="349"/>
    </row>
    <row r="153" spans="1:71" x14ac:dyDescent="0.3">
      <c r="A153" s="349"/>
      <c r="B153" s="349"/>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c r="BO153" s="349"/>
      <c r="BP153" s="349"/>
      <c r="BQ153" s="349"/>
      <c r="BR153" s="349"/>
      <c r="BS153" s="349"/>
    </row>
    <row r="154" spans="1:71" x14ac:dyDescent="0.3">
      <c r="A154" s="349"/>
      <c r="B154" s="349"/>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c r="BO154" s="349"/>
      <c r="BP154" s="349"/>
      <c r="BQ154" s="349"/>
      <c r="BR154" s="349"/>
      <c r="BS154" s="349"/>
    </row>
    <row r="155" spans="1:71" x14ac:dyDescent="0.3">
      <c r="A155" s="349"/>
      <c r="B155" s="349"/>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c r="BO155" s="349"/>
      <c r="BP155" s="349"/>
      <c r="BQ155" s="349"/>
      <c r="BR155" s="349"/>
      <c r="BS155" s="349"/>
    </row>
    <row r="156" spans="1:71" x14ac:dyDescent="0.3">
      <c r="A156" s="349"/>
      <c r="B156" s="349"/>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c r="BO156" s="349"/>
      <c r="BP156" s="349"/>
      <c r="BQ156" s="349"/>
      <c r="BR156" s="349"/>
      <c r="BS156" s="349"/>
    </row>
    <row r="157" spans="1:71" x14ac:dyDescent="0.3">
      <c r="A157" s="349"/>
      <c r="B157" s="349"/>
      <c r="C157" s="349"/>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c r="BO157" s="349"/>
      <c r="BP157" s="349"/>
      <c r="BQ157" s="349"/>
      <c r="BR157" s="349"/>
      <c r="BS157" s="349"/>
    </row>
    <row r="158" spans="1:71" x14ac:dyDescent="0.3">
      <c r="A158" s="349"/>
      <c r="B158" s="349"/>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c r="BO158" s="349"/>
      <c r="BP158" s="349"/>
      <c r="BQ158" s="349"/>
      <c r="BR158" s="349"/>
      <c r="BS158" s="349"/>
    </row>
    <row r="159" spans="1:71" x14ac:dyDescent="0.3">
      <c r="A159" s="349"/>
      <c r="B159" s="349"/>
      <c r="C159" s="349"/>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c r="BO159" s="349"/>
      <c r="BP159" s="349"/>
      <c r="BQ159" s="349"/>
      <c r="BR159" s="349"/>
      <c r="BS159" s="349"/>
    </row>
    <row r="160" spans="1:71" x14ac:dyDescent="0.3">
      <c r="A160" s="349"/>
      <c r="B160" s="349"/>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c r="BO160" s="349"/>
      <c r="BP160" s="349"/>
      <c r="BQ160" s="349"/>
      <c r="BR160" s="349"/>
      <c r="BS160" s="349"/>
    </row>
    <row r="161" spans="1:71" x14ac:dyDescent="0.3">
      <c r="A161" s="349"/>
      <c r="B161" s="349"/>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c r="BO161" s="349"/>
      <c r="BP161" s="349"/>
      <c r="BQ161" s="349"/>
      <c r="BR161" s="349"/>
      <c r="BS161" s="349"/>
    </row>
    <row r="162" spans="1:71" x14ac:dyDescent="0.3">
      <c r="A162" s="349"/>
      <c r="B162" s="349"/>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c r="BR162" s="349"/>
      <c r="BS162" s="349"/>
    </row>
    <row r="163" spans="1:71" x14ac:dyDescent="0.3">
      <c r="A163" s="349"/>
      <c r="B163" s="349"/>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c r="BO163" s="349"/>
      <c r="BP163" s="349"/>
      <c r="BQ163" s="349"/>
      <c r="BR163" s="349"/>
      <c r="BS163" s="349"/>
    </row>
    <row r="164" spans="1:71" x14ac:dyDescent="0.3">
      <c r="A164" s="349"/>
      <c r="B164" s="349"/>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c r="BO164" s="349"/>
      <c r="BP164" s="349"/>
      <c r="BQ164" s="349"/>
      <c r="BR164" s="349"/>
      <c r="BS164" s="349"/>
    </row>
    <row r="165" spans="1:71" x14ac:dyDescent="0.3">
      <c r="A165" s="349"/>
      <c r="B165" s="349"/>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c r="BR165" s="349"/>
      <c r="BS165" s="349"/>
    </row>
    <row r="166" spans="1:71" x14ac:dyDescent="0.3">
      <c r="A166" s="349"/>
      <c r="B166" s="349"/>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c r="BO166" s="349"/>
      <c r="BP166" s="349"/>
      <c r="BQ166" s="349"/>
      <c r="BR166" s="349"/>
      <c r="BS166" s="349"/>
    </row>
    <row r="167" spans="1:71" x14ac:dyDescent="0.3">
      <c r="A167" s="349"/>
      <c r="B167" s="349"/>
      <c r="C167" s="349"/>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c r="BO167" s="349"/>
      <c r="BP167" s="349"/>
      <c r="BQ167" s="349"/>
      <c r="BR167" s="349"/>
      <c r="BS167" s="349"/>
    </row>
    <row r="168" spans="1:71" x14ac:dyDescent="0.3">
      <c r="A168" s="349"/>
      <c r="B168" s="349"/>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c r="BO168" s="349"/>
      <c r="BP168" s="349"/>
      <c r="BQ168" s="349"/>
      <c r="BR168" s="349"/>
      <c r="BS168" s="349"/>
    </row>
    <row r="169" spans="1:71" x14ac:dyDescent="0.3">
      <c r="A169" s="349"/>
      <c r="B169" s="349"/>
      <c r="C169" s="349"/>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c r="BO169" s="349"/>
      <c r="BP169" s="349"/>
      <c r="BQ169" s="349"/>
      <c r="BR169" s="349"/>
      <c r="BS169" s="349"/>
    </row>
    <row r="170" spans="1:71" x14ac:dyDescent="0.3">
      <c r="A170" s="349"/>
      <c r="B170" s="349"/>
      <c r="C170" s="349"/>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c r="BO170" s="349"/>
      <c r="BP170" s="349"/>
      <c r="BQ170" s="349"/>
      <c r="BR170" s="349"/>
      <c r="BS170" s="349"/>
    </row>
    <row r="171" spans="1:71" x14ac:dyDescent="0.3">
      <c r="A171" s="349"/>
      <c r="B171" s="349"/>
      <c r="C171" s="349"/>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c r="BO171" s="349"/>
      <c r="BP171" s="349"/>
      <c r="BQ171" s="349"/>
      <c r="BR171" s="349"/>
      <c r="BS171" s="349"/>
    </row>
    <row r="172" spans="1:71" x14ac:dyDescent="0.3">
      <c r="A172" s="349"/>
      <c r="B172" s="349"/>
      <c r="C172" s="349"/>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c r="BO172" s="349"/>
      <c r="BP172" s="349"/>
      <c r="BQ172" s="349"/>
      <c r="BR172" s="349"/>
      <c r="BS172" s="349"/>
    </row>
    <row r="173" spans="1:71" x14ac:dyDescent="0.3">
      <c r="A173" s="349"/>
      <c r="B173" s="349"/>
      <c r="C173" s="349"/>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c r="BO173" s="349"/>
      <c r="BP173" s="349"/>
      <c r="BQ173" s="349"/>
      <c r="BR173" s="349"/>
      <c r="BS173" s="349"/>
    </row>
    <row r="174" spans="1:71" x14ac:dyDescent="0.3">
      <c r="A174" s="349"/>
      <c r="B174" s="349"/>
      <c r="C174" s="349"/>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c r="BO174" s="349"/>
      <c r="BP174" s="349"/>
      <c r="BQ174" s="349"/>
      <c r="BR174" s="349"/>
      <c r="BS174" s="349"/>
    </row>
    <row r="175" spans="1:71" x14ac:dyDescent="0.3">
      <c r="A175" s="349"/>
      <c r="B175" s="349"/>
      <c r="C175" s="349"/>
      <c r="D175" s="349"/>
      <c r="E175" s="349"/>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c r="BO175" s="349"/>
      <c r="BP175" s="349"/>
      <c r="BQ175" s="349"/>
      <c r="BR175" s="349"/>
      <c r="BS175" s="349"/>
    </row>
    <row r="176" spans="1:71" x14ac:dyDescent="0.3">
      <c r="A176" s="349"/>
      <c r="B176" s="349"/>
      <c r="C176" s="349"/>
      <c r="D176" s="349"/>
      <c r="E176" s="349"/>
      <c r="F176" s="349"/>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c r="BO176" s="349"/>
      <c r="BP176" s="349"/>
      <c r="BQ176" s="349"/>
      <c r="BR176" s="349"/>
      <c r="BS176" s="349"/>
    </row>
    <row r="177" spans="1:71" x14ac:dyDescent="0.3">
      <c r="A177" s="349"/>
      <c r="B177" s="349"/>
      <c r="C177" s="349"/>
      <c r="D177" s="349"/>
      <c r="E177" s="349"/>
      <c r="F177" s="349"/>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c r="BO177" s="349"/>
      <c r="BP177" s="349"/>
      <c r="BQ177" s="349"/>
      <c r="BR177" s="349"/>
      <c r="BS177" s="349"/>
    </row>
    <row r="178" spans="1:71" x14ac:dyDescent="0.3">
      <c r="A178" s="349"/>
      <c r="B178" s="349"/>
      <c r="C178" s="349"/>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c r="BO178" s="349"/>
      <c r="BP178" s="349"/>
      <c r="BQ178" s="349"/>
      <c r="BR178" s="349"/>
      <c r="BS178" s="349"/>
    </row>
    <row r="179" spans="1:71" x14ac:dyDescent="0.3">
      <c r="A179" s="349"/>
      <c r="B179" s="349"/>
      <c r="C179" s="349"/>
      <c r="D179" s="349"/>
      <c r="E179" s="349"/>
      <c r="F179" s="349"/>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c r="BO179" s="349"/>
      <c r="BP179" s="349"/>
      <c r="BQ179" s="349"/>
      <c r="BR179" s="349"/>
      <c r="BS179" s="349"/>
    </row>
    <row r="180" spans="1:71" x14ac:dyDescent="0.3">
      <c r="A180" s="349"/>
      <c r="B180" s="349"/>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c r="BR180" s="349"/>
      <c r="BS180" s="349"/>
    </row>
    <row r="181" spans="1:71" x14ac:dyDescent="0.3">
      <c r="A181" s="349"/>
      <c r="B181" s="349"/>
      <c r="C181" s="349"/>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c r="BR181" s="349"/>
      <c r="BS181" s="349"/>
    </row>
    <row r="182" spans="1:71" x14ac:dyDescent="0.3">
      <c r="A182" s="349"/>
      <c r="B182" s="349"/>
      <c r="C182" s="349"/>
      <c r="D182" s="349"/>
      <c r="E182" s="349"/>
      <c r="F182" s="349"/>
      <c r="G182" s="349"/>
      <c r="H182" s="349"/>
      <c r="I182" s="349"/>
      <c r="J182" s="349"/>
      <c r="K182" s="349"/>
      <c r="L182" s="349"/>
      <c r="M182" s="349"/>
      <c r="N182" s="349"/>
      <c r="O182" s="349"/>
      <c r="P182" s="349"/>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c r="BR182" s="349"/>
      <c r="BS182" s="349"/>
    </row>
    <row r="183" spans="1:71" x14ac:dyDescent="0.3">
      <c r="A183" s="349"/>
      <c r="B183" s="349"/>
      <c r="C183" s="349"/>
      <c r="D183" s="349"/>
      <c r="E183" s="349"/>
      <c r="F183" s="349"/>
      <c r="G183" s="349"/>
      <c r="H183" s="349"/>
      <c r="I183" s="349"/>
      <c r="J183" s="349"/>
      <c r="K183" s="349"/>
      <c r="L183" s="349"/>
      <c r="M183" s="349"/>
      <c r="N183" s="349"/>
      <c r="O183" s="349"/>
      <c r="P183" s="349"/>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c r="BR183" s="349"/>
      <c r="BS183" s="349"/>
    </row>
    <row r="184" spans="1:71" x14ac:dyDescent="0.3">
      <c r="A184" s="349"/>
      <c r="B184" s="349"/>
      <c r="C184" s="349"/>
      <c r="D184" s="349"/>
      <c r="E184" s="349"/>
      <c r="F184" s="349"/>
      <c r="G184" s="349"/>
      <c r="H184" s="349"/>
      <c r="I184" s="349"/>
      <c r="J184" s="349"/>
      <c r="K184" s="349"/>
      <c r="L184" s="349"/>
      <c r="M184" s="349"/>
      <c r="N184" s="349"/>
      <c r="O184" s="349"/>
      <c r="P184" s="349"/>
      <c r="Q184" s="349"/>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c r="BR184" s="349"/>
      <c r="BS184" s="349"/>
    </row>
    <row r="185" spans="1:71" x14ac:dyDescent="0.3">
      <c r="A185" s="349"/>
      <c r="B185" s="349"/>
      <c r="C185" s="349"/>
      <c r="D185" s="349"/>
      <c r="E185" s="349"/>
      <c r="F185" s="349"/>
      <c r="G185" s="349"/>
      <c r="H185" s="349"/>
      <c r="I185" s="349"/>
      <c r="J185" s="349"/>
      <c r="K185" s="349"/>
      <c r="L185" s="349"/>
      <c r="M185" s="349"/>
      <c r="N185" s="349"/>
      <c r="O185" s="349"/>
      <c r="P185" s="349"/>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c r="BR185" s="349"/>
      <c r="BS185" s="349"/>
    </row>
    <row r="186" spans="1:71" x14ac:dyDescent="0.3">
      <c r="A186" s="349"/>
      <c r="B186" s="349"/>
      <c r="C186" s="349"/>
      <c r="D186" s="349"/>
      <c r="E186" s="349"/>
      <c r="F186" s="349"/>
      <c r="G186" s="349"/>
      <c r="H186" s="349"/>
      <c r="I186" s="349"/>
      <c r="J186" s="349"/>
      <c r="K186" s="349"/>
      <c r="L186" s="349"/>
      <c r="M186" s="349"/>
      <c r="N186" s="349"/>
      <c r="O186" s="349"/>
      <c r="P186" s="349"/>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349"/>
      <c r="BP186" s="349"/>
      <c r="BQ186" s="349"/>
      <c r="BR186" s="349"/>
      <c r="BS186" s="349"/>
    </row>
    <row r="187" spans="1:71" x14ac:dyDescent="0.3">
      <c r="A187" s="349"/>
      <c r="B187" s="349"/>
      <c r="C187" s="349"/>
      <c r="D187" s="349"/>
      <c r="E187" s="349"/>
      <c r="F187" s="349"/>
      <c r="G187" s="349"/>
      <c r="H187" s="349"/>
      <c r="I187" s="349"/>
      <c r="J187" s="349"/>
      <c r="K187" s="349"/>
      <c r="L187" s="349"/>
      <c r="M187" s="349"/>
      <c r="N187" s="349"/>
      <c r="O187" s="349"/>
      <c r="P187" s="349"/>
      <c r="Q187" s="349"/>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c r="BO187" s="349"/>
      <c r="BP187" s="349"/>
      <c r="BQ187" s="349"/>
      <c r="BR187" s="349"/>
      <c r="BS187" s="349"/>
    </row>
    <row r="188" spans="1:71" x14ac:dyDescent="0.3">
      <c r="A188" s="349"/>
      <c r="B188" s="349"/>
      <c r="C188" s="349"/>
      <c r="D188" s="349"/>
      <c r="E188" s="349"/>
      <c r="F188" s="349"/>
      <c r="G188" s="349"/>
      <c r="H188" s="349"/>
      <c r="I188" s="349"/>
      <c r="J188" s="349"/>
      <c r="K188" s="349"/>
      <c r="L188" s="349"/>
      <c r="M188" s="349"/>
      <c r="N188" s="349"/>
      <c r="O188" s="349"/>
      <c r="P188" s="349"/>
      <c r="Q188" s="349"/>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c r="BO188" s="349"/>
      <c r="BP188" s="349"/>
      <c r="BQ188" s="349"/>
      <c r="BR188" s="349"/>
      <c r="BS188" s="349"/>
    </row>
    <row r="189" spans="1:71" x14ac:dyDescent="0.3">
      <c r="A189" s="349"/>
      <c r="B189" s="349"/>
      <c r="C189" s="349"/>
      <c r="D189" s="349"/>
      <c r="E189" s="349"/>
      <c r="F189" s="349"/>
      <c r="G189" s="349"/>
      <c r="H189" s="349"/>
      <c r="I189" s="349"/>
      <c r="J189" s="349"/>
      <c r="K189" s="349"/>
      <c r="L189" s="349"/>
      <c r="M189" s="349"/>
      <c r="N189" s="349"/>
      <c r="O189" s="349"/>
      <c r="P189" s="349"/>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c r="BR189" s="349"/>
      <c r="BS189" s="349"/>
    </row>
    <row r="190" spans="1:71" x14ac:dyDescent="0.3">
      <c r="A190" s="349"/>
      <c r="B190" s="349"/>
      <c r="C190" s="349"/>
      <c r="D190" s="349"/>
      <c r="E190" s="349"/>
      <c r="F190" s="349"/>
      <c r="G190" s="349"/>
      <c r="H190" s="349"/>
      <c r="I190" s="349"/>
      <c r="J190" s="349"/>
      <c r="K190" s="349"/>
      <c r="L190" s="349"/>
      <c r="M190" s="349"/>
      <c r="N190" s="349"/>
      <c r="O190" s="349"/>
      <c r="P190" s="349"/>
      <c r="Q190" s="349"/>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c r="BO190" s="349"/>
      <c r="BP190" s="349"/>
      <c r="BQ190" s="349"/>
      <c r="BR190" s="349"/>
      <c r="BS190" s="349"/>
    </row>
    <row r="191" spans="1:71" x14ac:dyDescent="0.3">
      <c r="A191" s="349"/>
      <c r="B191" s="349"/>
      <c r="C191" s="349"/>
      <c r="D191" s="349"/>
      <c r="E191" s="349"/>
      <c r="F191" s="349"/>
      <c r="G191" s="349"/>
      <c r="H191" s="349"/>
      <c r="I191" s="349"/>
      <c r="J191" s="349"/>
      <c r="K191" s="349"/>
      <c r="L191" s="349"/>
      <c r="M191" s="349"/>
      <c r="N191" s="349"/>
      <c r="O191" s="349"/>
      <c r="P191" s="349"/>
      <c r="Q191" s="349"/>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c r="BO191" s="349"/>
      <c r="BP191" s="349"/>
      <c r="BQ191" s="349"/>
      <c r="BR191" s="349"/>
      <c r="BS191" s="349"/>
    </row>
    <row r="192" spans="1:71" x14ac:dyDescent="0.3">
      <c r="A192" s="349"/>
      <c r="B192" s="349"/>
      <c r="C192" s="349"/>
      <c r="D192" s="349"/>
      <c r="E192" s="349"/>
      <c r="F192" s="349"/>
      <c r="G192" s="349"/>
      <c r="H192" s="349"/>
      <c r="I192" s="349"/>
      <c r="J192" s="349"/>
      <c r="K192" s="349"/>
      <c r="L192" s="349"/>
      <c r="M192" s="349"/>
      <c r="N192" s="349"/>
      <c r="O192" s="349"/>
      <c r="P192" s="349"/>
      <c r="Q192" s="349"/>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c r="BO192" s="349"/>
      <c r="BP192" s="349"/>
      <c r="BQ192" s="349"/>
      <c r="BR192" s="349"/>
      <c r="BS192" s="349"/>
    </row>
    <row r="193" spans="1:71" x14ac:dyDescent="0.3">
      <c r="A193" s="349"/>
      <c r="B193" s="349"/>
      <c r="C193" s="349"/>
      <c r="D193" s="349"/>
      <c r="E193" s="349"/>
      <c r="F193" s="349"/>
      <c r="G193" s="349"/>
      <c r="H193" s="349"/>
      <c r="I193" s="349"/>
      <c r="J193" s="349"/>
      <c r="K193" s="349"/>
      <c r="L193" s="349"/>
      <c r="M193" s="349"/>
      <c r="N193" s="349"/>
      <c r="O193" s="349"/>
      <c r="P193" s="349"/>
      <c r="Q193" s="349"/>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c r="BO193" s="349"/>
      <c r="BP193" s="349"/>
      <c r="BQ193" s="349"/>
      <c r="BR193" s="349"/>
      <c r="BS193" s="349"/>
    </row>
    <row r="194" spans="1:71" x14ac:dyDescent="0.3">
      <c r="A194" s="349"/>
      <c r="B194" s="349"/>
      <c r="C194" s="349"/>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c r="BO194" s="349"/>
      <c r="BP194" s="349"/>
      <c r="BQ194" s="349"/>
      <c r="BR194" s="349"/>
      <c r="BS194" s="349"/>
    </row>
    <row r="195" spans="1:71" x14ac:dyDescent="0.3">
      <c r="A195" s="349"/>
      <c r="B195" s="349"/>
      <c r="C195" s="349"/>
      <c r="D195" s="349"/>
      <c r="E195" s="349"/>
      <c r="F195" s="349"/>
      <c r="G195" s="349"/>
      <c r="H195" s="349"/>
      <c r="I195" s="349"/>
      <c r="J195" s="349"/>
      <c r="K195" s="349"/>
      <c r="L195" s="349"/>
      <c r="M195" s="349"/>
      <c r="N195" s="349"/>
      <c r="O195" s="349"/>
      <c r="P195" s="349"/>
      <c r="Q195" s="349"/>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c r="AW195" s="349"/>
      <c r="AX195" s="349"/>
      <c r="AY195" s="349"/>
      <c r="AZ195" s="349"/>
      <c r="BA195" s="349"/>
      <c r="BB195" s="349"/>
      <c r="BC195" s="349"/>
      <c r="BD195" s="349"/>
      <c r="BE195" s="349"/>
      <c r="BF195" s="349"/>
      <c r="BG195" s="349"/>
      <c r="BH195" s="349"/>
      <c r="BI195" s="349"/>
      <c r="BJ195" s="349"/>
      <c r="BK195" s="349"/>
      <c r="BL195" s="349"/>
      <c r="BM195" s="349"/>
      <c r="BN195" s="349"/>
      <c r="BO195" s="349"/>
      <c r="BP195" s="349"/>
      <c r="BQ195" s="349"/>
      <c r="BR195" s="349"/>
      <c r="BS195" s="349"/>
    </row>
    <row r="196" spans="1:71" x14ac:dyDescent="0.3">
      <c r="A196" s="349"/>
      <c r="B196" s="349"/>
      <c r="C196" s="349"/>
      <c r="D196" s="349"/>
      <c r="E196" s="349"/>
      <c r="F196" s="349"/>
      <c r="G196" s="349"/>
      <c r="H196" s="349"/>
      <c r="I196" s="349"/>
      <c r="J196" s="349"/>
      <c r="K196" s="349"/>
      <c r="L196" s="349"/>
      <c r="M196" s="349"/>
      <c r="N196" s="349"/>
      <c r="O196" s="349"/>
      <c r="P196" s="349"/>
      <c r="Q196" s="349"/>
      <c r="R196" s="349"/>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c r="BO196" s="349"/>
      <c r="BP196" s="349"/>
      <c r="BQ196" s="349"/>
      <c r="BR196" s="349"/>
      <c r="BS196" s="349"/>
    </row>
    <row r="197" spans="1:71" x14ac:dyDescent="0.3">
      <c r="A197" s="349"/>
      <c r="B197" s="349"/>
      <c r="C197" s="349"/>
      <c r="D197" s="349"/>
      <c r="E197" s="349"/>
      <c r="F197" s="349"/>
      <c r="G197" s="349"/>
      <c r="H197" s="349"/>
      <c r="I197" s="349"/>
      <c r="J197" s="349"/>
      <c r="K197" s="349"/>
      <c r="L197" s="349"/>
      <c r="M197" s="349"/>
      <c r="N197" s="349"/>
      <c r="O197" s="349"/>
      <c r="P197" s="349"/>
      <c r="Q197" s="349"/>
      <c r="R197" s="349"/>
      <c r="S197" s="349"/>
      <c r="T197" s="349"/>
      <c r="U197" s="349"/>
      <c r="V197" s="349"/>
      <c r="W197" s="349"/>
      <c r="X197" s="349"/>
      <c r="Y197" s="349"/>
      <c r="Z197" s="349"/>
      <c r="AA197" s="349"/>
      <c r="AB197" s="349"/>
      <c r="AC197" s="349"/>
      <c r="AD197" s="349"/>
      <c r="AE197" s="349"/>
      <c r="AF197" s="349"/>
      <c r="AG197" s="349"/>
      <c r="AH197" s="349"/>
      <c r="AI197" s="349"/>
      <c r="AJ197" s="349"/>
      <c r="AK197" s="349"/>
      <c r="AL197" s="349"/>
      <c r="AM197" s="349"/>
      <c r="AN197" s="349"/>
      <c r="AO197" s="349"/>
      <c r="AP197" s="349"/>
      <c r="AQ197" s="349"/>
      <c r="AR197" s="349"/>
      <c r="AS197" s="349"/>
      <c r="AT197" s="349"/>
      <c r="AU197" s="349"/>
      <c r="AV197" s="349"/>
      <c r="AW197" s="349"/>
      <c r="AX197" s="349"/>
      <c r="AY197" s="349"/>
      <c r="AZ197" s="349"/>
      <c r="BA197" s="349"/>
      <c r="BB197" s="349"/>
      <c r="BC197" s="349"/>
      <c r="BD197" s="349"/>
      <c r="BE197" s="349"/>
      <c r="BF197" s="349"/>
      <c r="BG197" s="349"/>
      <c r="BH197" s="349"/>
      <c r="BI197" s="349"/>
      <c r="BJ197" s="349"/>
      <c r="BK197" s="349"/>
      <c r="BL197" s="349"/>
      <c r="BM197" s="349"/>
      <c r="BN197" s="349"/>
      <c r="BO197" s="349"/>
      <c r="BP197" s="349"/>
      <c r="BQ197" s="349"/>
      <c r="BR197" s="349"/>
      <c r="BS197" s="349"/>
    </row>
    <row r="198" spans="1:71" x14ac:dyDescent="0.3">
      <c r="A198" s="349"/>
      <c r="B198" s="349"/>
      <c r="C198" s="349"/>
      <c r="D198" s="349"/>
      <c r="E198" s="349"/>
      <c r="F198" s="349"/>
      <c r="G198" s="349"/>
      <c r="H198" s="349"/>
      <c r="I198" s="349"/>
      <c r="J198" s="349"/>
      <c r="K198" s="349"/>
      <c r="L198" s="349"/>
      <c r="M198" s="349"/>
      <c r="N198" s="349"/>
      <c r="O198" s="349"/>
      <c r="P198" s="349"/>
      <c r="Q198" s="349"/>
      <c r="R198" s="349"/>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c r="BO198" s="349"/>
      <c r="BP198" s="349"/>
      <c r="BQ198" s="349"/>
      <c r="BR198" s="349"/>
      <c r="BS198" s="349"/>
    </row>
    <row r="199" spans="1:71" x14ac:dyDescent="0.3">
      <c r="A199" s="349"/>
      <c r="B199" s="349"/>
      <c r="C199" s="349"/>
      <c r="D199" s="349"/>
      <c r="E199" s="349"/>
      <c r="F199" s="349"/>
      <c r="G199" s="349"/>
      <c r="H199" s="349"/>
      <c r="I199" s="349"/>
      <c r="J199" s="349"/>
      <c r="K199" s="349"/>
      <c r="L199" s="349"/>
      <c r="M199" s="349"/>
      <c r="N199" s="349"/>
      <c r="O199" s="349"/>
      <c r="P199" s="349"/>
      <c r="Q199" s="349"/>
      <c r="R199" s="349"/>
      <c r="S199" s="349"/>
      <c r="T199" s="349"/>
      <c r="U199" s="349"/>
      <c r="V199" s="349"/>
      <c r="W199" s="349"/>
      <c r="X199" s="349"/>
      <c r="Y199" s="349"/>
      <c r="Z199" s="349"/>
      <c r="AA199" s="349"/>
      <c r="AB199" s="349"/>
      <c r="AC199" s="349"/>
      <c r="AD199" s="349"/>
      <c r="AE199" s="349"/>
      <c r="AF199" s="349"/>
      <c r="AG199" s="349"/>
      <c r="AH199" s="349"/>
      <c r="AI199" s="349"/>
      <c r="AJ199" s="349"/>
      <c r="AK199" s="349"/>
      <c r="AL199" s="349"/>
      <c r="AM199" s="349"/>
      <c r="AN199" s="349"/>
      <c r="AO199" s="349"/>
      <c r="AP199" s="349"/>
      <c r="AQ199" s="349"/>
      <c r="AR199" s="349"/>
      <c r="AS199" s="349"/>
      <c r="AT199" s="349"/>
      <c r="AU199" s="349"/>
      <c r="AV199" s="349"/>
      <c r="AW199" s="349"/>
      <c r="AX199" s="349"/>
      <c r="AY199" s="349"/>
      <c r="AZ199" s="349"/>
      <c r="BA199" s="349"/>
      <c r="BB199" s="349"/>
      <c r="BC199" s="349"/>
      <c r="BD199" s="349"/>
      <c r="BE199" s="349"/>
      <c r="BF199" s="349"/>
      <c r="BG199" s="349"/>
      <c r="BH199" s="349"/>
      <c r="BI199" s="349"/>
      <c r="BJ199" s="349"/>
      <c r="BK199" s="349"/>
      <c r="BL199" s="349"/>
      <c r="BM199" s="349"/>
      <c r="BN199" s="349"/>
      <c r="BO199" s="349"/>
      <c r="BP199" s="349"/>
      <c r="BQ199" s="349"/>
      <c r="BR199" s="349"/>
      <c r="BS199" s="349"/>
    </row>
    <row r="200" spans="1:71" x14ac:dyDescent="0.3">
      <c r="A200" s="349"/>
      <c r="B200" s="349"/>
      <c r="C200" s="349"/>
      <c r="D200" s="349"/>
      <c r="E200" s="349"/>
      <c r="F200" s="349"/>
      <c r="G200" s="349"/>
      <c r="H200" s="349"/>
      <c r="I200" s="349"/>
      <c r="J200" s="349"/>
      <c r="K200" s="349"/>
      <c r="L200" s="349"/>
      <c r="M200" s="349"/>
      <c r="N200" s="349"/>
      <c r="O200" s="349"/>
      <c r="P200" s="349"/>
      <c r="Q200" s="349"/>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49"/>
      <c r="BB200" s="349"/>
      <c r="BC200" s="349"/>
      <c r="BD200" s="349"/>
      <c r="BE200" s="349"/>
      <c r="BF200" s="349"/>
      <c r="BG200" s="349"/>
      <c r="BH200" s="349"/>
      <c r="BI200" s="349"/>
      <c r="BJ200" s="349"/>
      <c r="BK200" s="349"/>
      <c r="BL200" s="349"/>
      <c r="BM200" s="349"/>
      <c r="BN200" s="349"/>
      <c r="BO200" s="349"/>
      <c r="BP200" s="349"/>
      <c r="BQ200" s="349"/>
      <c r="BR200" s="349"/>
      <c r="BS200" s="349"/>
    </row>
    <row r="201" spans="1:71" x14ac:dyDescent="0.3">
      <c r="A201" s="349"/>
      <c r="B201" s="349"/>
      <c r="C201" s="349"/>
      <c r="D201" s="349"/>
      <c r="E201" s="349"/>
      <c r="F201" s="349"/>
      <c r="G201" s="349"/>
      <c r="H201" s="349"/>
      <c r="I201" s="349"/>
      <c r="J201" s="349"/>
      <c r="K201" s="349"/>
      <c r="L201" s="349"/>
      <c r="M201" s="349"/>
      <c r="N201" s="349"/>
      <c r="O201" s="349"/>
      <c r="P201" s="349"/>
      <c r="Q201" s="349"/>
      <c r="R201" s="349"/>
      <c r="S201" s="349"/>
      <c r="T201" s="349"/>
      <c r="U201" s="349"/>
      <c r="V201" s="349"/>
      <c r="W201" s="349"/>
      <c r="X201" s="349"/>
      <c r="Y201" s="349"/>
      <c r="Z201" s="349"/>
      <c r="AA201" s="349"/>
      <c r="AB201" s="349"/>
      <c r="AC201" s="349"/>
      <c r="AD201" s="349"/>
      <c r="AE201" s="349"/>
      <c r="AF201" s="349"/>
      <c r="AG201" s="349"/>
      <c r="AH201" s="349"/>
      <c r="AI201" s="349"/>
      <c r="AJ201" s="349"/>
      <c r="AK201" s="349"/>
      <c r="AL201" s="349"/>
      <c r="AM201" s="349"/>
      <c r="AN201" s="349"/>
      <c r="AO201" s="349"/>
      <c r="AP201" s="349"/>
      <c r="AQ201" s="349"/>
      <c r="AR201" s="349"/>
      <c r="AS201" s="349"/>
      <c r="AT201" s="349"/>
      <c r="AU201" s="349"/>
      <c r="AV201" s="349"/>
      <c r="AW201" s="349"/>
      <c r="AX201" s="349"/>
      <c r="AY201" s="349"/>
      <c r="AZ201" s="349"/>
      <c r="BA201" s="349"/>
      <c r="BB201" s="349"/>
      <c r="BC201" s="349"/>
      <c r="BD201" s="349"/>
      <c r="BE201" s="349"/>
      <c r="BF201" s="349"/>
      <c r="BG201" s="349"/>
      <c r="BH201" s="349"/>
      <c r="BI201" s="349"/>
      <c r="BJ201" s="349"/>
      <c r="BK201" s="349"/>
      <c r="BL201" s="349"/>
      <c r="BM201" s="349"/>
      <c r="BN201" s="349"/>
      <c r="BO201" s="349"/>
      <c r="BP201" s="349"/>
      <c r="BQ201" s="349"/>
      <c r="BR201" s="349"/>
      <c r="BS201" s="349"/>
    </row>
    <row r="202" spans="1:71" x14ac:dyDescent="0.3">
      <c r="A202" s="349"/>
      <c r="B202" s="349"/>
      <c r="C202" s="349"/>
      <c r="D202" s="349"/>
      <c r="E202" s="349"/>
      <c r="F202" s="349"/>
      <c r="G202" s="349"/>
      <c r="H202" s="349"/>
      <c r="I202" s="349"/>
      <c r="J202" s="349"/>
      <c r="K202" s="349"/>
      <c r="L202" s="349"/>
      <c r="M202" s="349"/>
      <c r="N202" s="349"/>
      <c r="O202" s="349"/>
      <c r="P202" s="349"/>
      <c r="Q202" s="349"/>
      <c r="R202" s="349"/>
      <c r="S202" s="349"/>
      <c r="T202" s="349"/>
      <c r="U202" s="349"/>
      <c r="V202" s="349"/>
      <c r="W202" s="349"/>
      <c r="X202" s="349"/>
      <c r="Y202" s="349"/>
      <c r="Z202" s="349"/>
      <c r="AA202" s="349"/>
      <c r="AB202" s="349"/>
      <c r="AC202" s="349"/>
      <c r="AD202" s="349"/>
      <c r="AE202" s="349"/>
      <c r="AF202" s="349"/>
      <c r="AG202" s="349"/>
      <c r="AH202" s="349"/>
      <c r="AI202" s="349"/>
      <c r="AJ202" s="349"/>
      <c r="AK202" s="349"/>
      <c r="AL202" s="349"/>
      <c r="AM202" s="349"/>
      <c r="AN202" s="349"/>
      <c r="AO202" s="349"/>
      <c r="AP202" s="349"/>
      <c r="AQ202" s="349"/>
      <c r="AR202" s="349"/>
      <c r="AS202" s="349"/>
      <c r="AT202" s="349"/>
      <c r="AU202" s="349"/>
      <c r="AV202" s="349"/>
      <c r="AW202" s="349"/>
      <c r="AX202" s="349"/>
      <c r="AY202" s="349"/>
      <c r="AZ202" s="349"/>
      <c r="BA202" s="349"/>
      <c r="BB202" s="349"/>
      <c r="BC202" s="349"/>
      <c r="BD202" s="349"/>
      <c r="BE202" s="349"/>
      <c r="BF202" s="349"/>
      <c r="BG202" s="349"/>
      <c r="BH202" s="349"/>
      <c r="BI202" s="349"/>
      <c r="BJ202" s="349"/>
      <c r="BK202" s="349"/>
      <c r="BL202" s="349"/>
      <c r="BM202" s="349"/>
      <c r="BN202" s="349"/>
      <c r="BO202" s="349"/>
      <c r="BP202" s="349"/>
      <c r="BQ202" s="349"/>
      <c r="BR202" s="349"/>
      <c r="BS202" s="349"/>
    </row>
    <row r="203" spans="1:71" x14ac:dyDescent="0.3">
      <c r="A203" s="349"/>
      <c r="B203" s="349"/>
      <c r="C203" s="349"/>
      <c r="D203" s="349"/>
      <c r="E203" s="349"/>
      <c r="F203" s="349"/>
      <c r="G203" s="349"/>
      <c r="H203" s="349"/>
      <c r="I203" s="349"/>
      <c r="J203" s="349"/>
      <c r="K203" s="349"/>
      <c r="L203" s="349"/>
      <c r="M203" s="349"/>
      <c r="N203" s="349"/>
      <c r="O203" s="349"/>
      <c r="P203" s="349"/>
      <c r="Q203" s="349"/>
      <c r="R203" s="349"/>
      <c r="S203" s="349"/>
      <c r="T203" s="349"/>
      <c r="U203" s="349"/>
      <c r="V203" s="349"/>
      <c r="W203" s="349"/>
      <c r="X203" s="349"/>
      <c r="Y203" s="349"/>
      <c r="Z203" s="349"/>
      <c r="AA203" s="349"/>
      <c r="AB203" s="349"/>
      <c r="AC203" s="349"/>
      <c r="AD203" s="349"/>
      <c r="AE203" s="349"/>
      <c r="AF203" s="349"/>
      <c r="AG203" s="349"/>
      <c r="AH203" s="349"/>
      <c r="AI203" s="349"/>
      <c r="AJ203" s="349"/>
      <c r="AK203" s="349"/>
      <c r="AL203" s="349"/>
      <c r="AM203" s="349"/>
      <c r="AN203" s="349"/>
      <c r="AO203" s="349"/>
      <c r="AP203" s="349"/>
      <c r="AQ203" s="349"/>
      <c r="AR203" s="349"/>
      <c r="AS203" s="349"/>
      <c r="AT203" s="349"/>
      <c r="AU203" s="349"/>
      <c r="AV203" s="349"/>
      <c r="AW203" s="349"/>
      <c r="AX203" s="349"/>
      <c r="AY203" s="349"/>
      <c r="AZ203" s="349"/>
      <c r="BA203" s="349"/>
      <c r="BB203" s="349"/>
      <c r="BC203" s="349"/>
      <c r="BD203" s="349"/>
      <c r="BE203" s="349"/>
      <c r="BF203" s="349"/>
      <c r="BG203" s="349"/>
      <c r="BH203" s="349"/>
      <c r="BI203" s="349"/>
      <c r="BJ203" s="349"/>
      <c r="BK203" s="349"/>
      <c r="BL203" s="349"/>
      <c r="BM203" s="349"/>
      <c r="BN203" s="349"/>
      <c r="BO203" s="349"/>
      <c r="BP203" s="349"/>
      <c r="BQ203" s="349"/>
      <c r="BR203" s="349"/>
      <c r="BS203" s="349"/>
    </row>
    <row r="204" spans="1:71" x14ac:dyDescent="0.3">
      <c r="A204" s="349"/>
      <c r="B204" s="349"/>
      <c r="C204" s="349"/>
      <c r="D204" s="349"/>
      <c r="E204" s="349"/>
      <c r="F204" s="349"/>
      <c r="G204" s="349"/>
      <c r="H204" s="349"/>
      <c r="I204" s="349"/>
      <c r="J204" s="349"/>
      <c r="K204" s="349"/>
      <c r="L204" s="349"/>
      <c r="M204" s="349"/>
      <c r="N204" s="349"/>
      <c r="O204" s="349"/>
      <c r="P204" s="349"/>
      <c r="Q204" s="349"/>
      <c r="R204" s="349"/>
      <c r="S204" s="349"/>
      <c r="T204" s="349"/>
      <c r="U204" s="349"/>
      <c r="V204" s="349"/>
      <c r="W204" s="349"/>
      <c r="X204" s="349"/>
      <c r="Y204" s="349"/>
      <c r="Z204" s="349"/>
      <c r="AA204" s="349"/>
      <c r="AB204" s="349"/>
      <c r="AC204" s="349"/>
      <c r="AD204" s="349"/>
      <c r="AE204" s="349"/>
      <c r="AF204" s="349"/>
      <c r="AG204" s="349"/>
      <c r="AH204" s="349"/>
      <c r="AI204" s="349"/>
      <c r="AJ204" s="349"/>
      <c r="AK204" s="349"/>
      <c r="AL204" s="349"/>
      <c r="AM204" s="349"/>
      <c r="AN204" s="349"/>
      <c r="AO204" s="349"/>
      <c r="AP204" s="349"/>
      <c r="AQ204" s="349"/>
      <c r="AR204" s="349"/>
      <c r="AS204" s="349"/>
      <c r="AT204" s="349"/>
      <c r="AU204" s="349"/>
      <c r="AV204" s="349"/>
      <c r="AW204" s="349"/>
      <c r="AX204" s="349"/>
      <c r="AY204" s="349"/>
      <c r="AZ204" s="349"/>
      <c r="BA204" s="349"/>
      <c r="BB204" s="349"/>
      <c r="BC204" s="349"/>
      <c r="BD204" s="349"/>
      <c r="BE204" s="349"/>
      <c r="BF204" s="349"/>
      <c r="BG204" s="349"/>
      <c r="BH204" s="349"/>
      <c r="BI204" s="349"/>
      <c r="BJ204" s="349"/>
      <c r="BK204" s="349"/>
      <c r="BL204" s="349"/>
      <c r="BM204" s="349"/>
      <c r="BN204" s="349"/>
      <c r="BO204" s="349"/>
      <c r="BP204" s="349"/>
      <c r="BQ204" s="349"/>
      <c r="BR204" s="349"/>
      <c r="BS204" s="349"/>
    </row>
    <row r="205" spans="1:71" x14ac:dyDescent="0.3">
      <c r="A205" s="349"/>
      <c r="B205" s="349"/>
      <c r="C205" s="349"/>
      <c r="D205" s="349"/>
      <c r="E205" s="349"/>
      <c r="F205" s="349"/>
      <c r="G205" s="349"/>
      <c r="H205" s="349"/>
      <c r="I205" s="349"/>
      <c r="J205" s="349"/>
      <c r="K205" s="349"/>
      <c r="L205" s="349"/>
      <c r="M205" s="349"/>
      <c r="N205" s="349"/>
      <c r="O205" s="349"/>
      <c r="P205" s="349"/>
      <c r="Q205" s="349"/>
      <c r="R205" s="349"/>
      <c r="S205" s="349"/>
      <c r="T205" s="349"/>
      <c r="U205" s="349"/>
      <c r="V205" s="349"/>
      <c r="W205" s="349"/>
      <c r="X205" s="349"/>
      <c r="Y205" s="349"/>
      <c r="Z205" s="349"/>
      <c r="AA205" s="349"/>
      <c r="AB205" s="349"/>
      <c r="AC205" s="349"/>
      <c r="AD205" s="349"/>
      <c r="AE205" s="349"/>
      <c r="AF205" s="349"/>
      <c r="AG205" s="349"/>
      <c r="AH205" s="349"/>
      <c r="AI205" s="349"/>
      <c r="AJ205" s="349"/>
      <c r="AK205" s="349"/>
      <c r="AL205" s="349"/>
      <c r="AM205" s="349"/>
      <c r="AN205" s="349"/>
      <c r="AO205" s="349"/>
      <c r="AP205" s="349"/>
      <c r="AQ205" s="349"/>
      <c r="AR205" s="349"/>
      <c r="AS205" s="349"/>
      <c r="AT205" s="349"/>
      <c r="AU205" s="349"/>
      <c r="AV205" s="349"/>
      <c r="AW205" s="349"/>
      <c r="AX205" s="349"/>
      <c r="AY205" s="349"/>
      <c r="AZ205" s="349"/>
      <c r="BA205" s="349"/>
      <c r="BB205" s="349"/>
      <c r="BC205" s="349"/>
      <c r="BD205" s="349"/>
      <c r="BE205" s="349"/>
      <c r="BF205" s="349"/>
      <c r="BG205" s="349"/>
      <c r="BH205" s="349"/>
      <c r="BI205" s="349"/>
      <c r="BJ205" s="349"/>
      <c r="BK205" s="349"/>
      <c r="BL205" s="349"/>
      <c r="BM205" s="349"/>
      <c r="BN205" s="349"/>
      <c r="BO205" s="349"/>
      <c r="BP205" s="349"/>
      <c r="BQ205" s="349"/>
      <c r="BR205" s="349"/>
      <c r="BS205" s="349"/>
    </row>
    <row r="206" spans="1:71" x14ac:dyDescent="0.3">
      <c r="A206" s="349"/>
      <c r="B206" s="349"/>
      <c r="C206" s="349"/>
      <c r="D206" s="349"/>
      <c r="E206" s="349"/>
      <c r="F206" s="349"/>
      <c r="G206" s="349"/>
      <c r="H206" s="349"/>
      <c r="I206" s="349"/>
      <c r="J206" s="349"/>
      <c r="K206" s="349"/>
      <c r="L206" s="349"/>
      <c r="M206" s="349"/>
      <c r="N206" s="349"/>
      <c r="O206" s="349"/>
      <c r="P206" s="349"/>
      <c r="Q206" s="349"/>
      <c r="R206" s="349"/>
      <c r="S206" s="349"/>
      <c r="T206" s="349"/>
      <c r="U206" s="349"/>
      <c r="V206" s="349"/>
      <c r="W206" s="349"/>
      <c r="X206" s="349"/>
      <c r="Y206" s="349"/>
      <c r="Z206" s="349"/>
      <c r="AA206" s="349"/>
      <c r="AB206" s="349"/>
      <c r="AC206" s="349"/>
      <c r="AD206" s="349"/>
      <c r="AE206" s="349"/>
      <c r="AF206" s="349"/>
      <c r="AG206" s="349"/>
      <c r="AH206" s="349"/>
      <c r="AI206" s="349"/>
      <c r="AJ206" s="349"/>
      <c r="AK206" s="349"/>
      <c r="AL206" s="349"/>
      <c r="AM206" s="349"/>
      <c r="AN206" s="349"/>
      <c r="AO206" s="349"/>
      <c r="AP206" s="349"/>
      <c r="AQ206" s="349"/>
      <c r="AR206" s="349"/>
      <c r="AS206" s="349"/>
      <c r="AT206" s="349"/>
      <c r="AU206" s="349"/>
      <c r="AV206" s="349"/>
      <c r="AW206" s="349"/>
      <c r="AX206" s="349"/>
      <c r="AY206" s="349"/>
      <c r="AZ206" s="349"/>
      <c r="BA206" s="349"/>
      <c r="BB206" s="349"/>
      <c r="BC206" s="349"/>
      <c r="BD206" s="349"/>
      <c r="BE206" s="349"/>
      <c r="BF206" s="349"/>
      <c r="BG206" s="349"/>
      <c r="BH206" s="349"/>
      <c r="BI206" s="349"/>
      <c r="BJ206" s="349"/>
      <c r="BK206" s="349"/>
      <c r="BL206" s="349"/>
      <c r="BM206" s="349"/>
      <c r="BN206" s="349"/>
      <c r="BO206" s="349"/>
      <c r="BP206" s="349"/>
      <c r="BQ206" s="349"/>
      <c r="BR206" s="349"/>
      <c r="BS206" s="349"/>
    </row>
    <row r="207" spans="1:71" x14ac:dyDescent="0.3">
      <c r="A207" s="349"/>
      <c r="B207" s="349"/>
      <c r="C207" s="349"/>
      <c r="D207" s="349"/>
      <c r="E207" s="349"/>
      <c r="F207" s="349"/>
      <c r="G207" s="349"/>
      <c r="H207" s="349"/>
      <c r="I207" s="349"/>
      <c r="J207" s="349"/>
      <c r="K207" s="349"/>
      <c r="L207" s="349"/>
      <c r="M207" s="349"/>
      <c r="N207" s="349"/>
      <c r="O207" s="349"/>
      <c r="P207" s="349"/>
      <c r="Q207" s="349"/>
      <c r="R207" s="349"/>
      <c r="S207" s="349"/>
      <c r="T207" s="349"/>
      <c r="U207" s="349"/>
      <c r="V207" s="349"/>
      <c r="W207" s="349"/>
      <c r="X207" s="349"/>
      <c r="Y207" s="349"/>
      <c r="Z207" s="349"/>
      <c r="AA207" s="349"/>
      <c r="AB207" s="349"/>
      <c r="AC207" s="349"/>
      <c r="AD207" s="349"/>
      <c r="AE207" s="349"/>
      <c r="AF207" s="349"/>
      <c r="AG207" s="349"/>
      <c r="AH207" s="349"/>
      <c r="AI207" s="349"/>
      <c r="AJ207" s="349"/>
      <c r="AK207" s="349"/>
      <c r="AL207" s="349"/>
      <c r="AM207" s="349"/>
      <c r="AN207" s="349"/>
      <c r="AO207" s="349"/>
      <c r="AP207" s="349"/>
      <c r="AQ207" s="349"/>
      <c r="AR207" s="349"/>
      <c r="AS207" s="349"/>
      <c r="AT207" s="349"/>
      <c r="AU207" s="349"/>
      <c r="AV207" s="349"/>
      <c r="AW207" s="349"/>
      <c r="AX207" s="349"/>
      <c r="AY207" s="349"/>
      <c r="AZ207" s="349"/>
      <c r="BA207" s="349"/>
      <c r="BB207" s="349"/>
      <c r="BC207" s="349"/>
      <c r="BD207" s="349"/>
      <c r="BE207" s="349"/>
      <c r="BF207" s="349"/>
      <c r="BG207" s="349"/>
      <c r="BH207" s="349"/>
      <c r="BI207" s="349"/>
      <c r="BJ207" s="349"/>
      <c r="BK207" s="349"/>
      <c r="BL207" s="349"/>
      <c r="BM207" s="349"/>
      <c r="BN207" s="349"/>
      <c r="BO207" s="349"/>
      <c r="BP207" s="349"/>
      <c r="BQ207" s="349"/>
      <c r="BR207" s="349"/>
      <c r="BS207" s="349"/>
    </row>
    <row r="208" spans="1:71" x14ac:dyDescent="0.3">
      <c r="A208" s="349"/>
      <c r="B208" s="349"/>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349"/>
      <c r="AG208" s="349"/>
      <c r="AH208" s="349"/>
      <c r="AI208" s="349"/>
      <c r="AJ208" s="349"/>
      <c r="AK208" s="349"/>
      <c r="AL208" s="349"/>
      <c r="AM208" s="349"/>
      <c r="AN208" s="349"/>
      <c r="AO208" s="349"/>
      <c r="AP208" s="349"/>
      <c r="AQ208" s="349"/>
      <c r="AR208" s="349"/>
      <c r="AS208" s="349"/>
      <c r="AT208" s="349"/>
      <c r="AU208" s="349"/>
      <c r="AV208" s="349"/>
      <c r="AW208" s="349"/>
      <c r="AX208" s="349"/>
      <c r="AY208" s="349"/>
      <c r="AZ208" s="349"/>
      <c r="BA208" s="349"/>
      <c r="BB208" s="349"/>
      <c r="BC208" s="349"/>
      <c r="BD208" s="349"/>
      <c r="BE208" s="349"/>
      <c r="BF208" s="349"/>
      <c r="BG208" s="349"/>
      <c r="BH208" s="349"/>
      <c r="BI208" s="349"/>
      <c r="BJ208" s="349"/>
      <c r="BK208" s="349"/>
      <c r="BL208" s="349"/>
      <c r="BM208" s="349"/>
      <c r="BN208" s="349"/>
      <c r="BO208" s="349"/>
      <c r="BP208" s="349"/>
      <c r="BQ208" s="349"/>
      <c r="BR208" s="349"/>
      <c r="BS208" s="349"/>
    </row>
    <row r="209" spans="1:71" x14ac:dyDescent="0.3">
      <c r="A209" s="349"/>
      <c r="B209" s="349"/>
      <c r="C209" s="349"/>
      <c r="D209" s="349"/>
      <c r="E209" s="349"/>
      <c r="F209" s="349"/>
      <c r="G209" s="349"/>
      <c r="H209" s="349"/>
      <c r="I209" s="349"/>
      <c r="J209" s="349"/>
      <c r="K209" s="349"/>
      <c r="L209" s="349"/>
      <c r="M209" s="349"/>
      <c r="N209" s="349"/>
      <c r="O209" s="349"/>
      <c r="P209" s="349"/>
      <c r="Q209" s="349"/>
      <c r="R209" s="349"/>
      <c r="S209" s="349"/>
      <c r="T209" s="349"/>
      <c r="U209" s="349"/>
      <c r="V209" s="349"/>
      <c r="W209" s="349"/>
      <c r="X209" s="349"/>
      <c r="Y209" s="349"/>
      <c r="Z209" s="349"/>
      <c r="AA209" s="349"/>
      <c r="AB209" s="349"/>
      <c r="AC209" s="349"/>
      <c r="AD209" s="349"/>
      <c r="AE209" s="349"/>
      <c r="AF209" s="349"/>
      <c r="AG209" s="349"/>
      <c r="AH209" s="349"/>
      <c r="AI209" s="349"/>
      <c r="AJ209" s="349"/>
      <c r="AK209" s="349"/>
      <c r="AL209" s="349"/>
      <c r="AM209" s="349"/>
      <c r="AN209" s="349"/>
      <c r="AO209" s="349"/>
      <c r="AP209" s="349"/>
      <c r="AQ209" s="349"/>
      <c r="AR209" s="349"/>
      <c r="AS209" s="349"/>
      <c r="AT209" s="349"/>
      <c r="AU209" s="349"/>
      <c r="AV209" s="349"/>
      <c r="AW209" s="349"/>
      <c r="AX209" s="349"/>
      <c r="AY209" s="349"/>
      <c r="AZ209" s="349"/>
      <c r="BA209" s="349"/>
      <c r="BB209" s="349"/>
      <c r="BC209" s="349"/>
      <c r="BD209" s="349"/>
      <c r="BE209" s="349"/>
      <c r="BF209" s="349"/>
      <c r="BG209" s="349"/>
      <c r="BH209" s="349"/>
      <c r="BI209" s="349"/>
      <c r="BJ209" s="349"/>
      <c r="BK209" s="349"/>
      <c r="BL209" s="349"/>
      <c r="BM209" s="349"/>
      <c r="BN209" s="349"/>
      <c r="BO209" s="349"/>
      <c r="BP209" s="349"/>
      <c r="BQ209" s="349"/>
      <c r="BR209" s="349"/>
      <c r="BS209" s="349"/>
    </row>
    <row r="210" spans="1:71" x14ac:dyDescent="0.3">
      <c r="A210" s="349"/>
      <c r="B210" s="349"/>
      <c r="C210" s="349"/>
      <c r="D210" s="349"/>
      <c r="E210" s="349"/>
      <c r="F210" s="349"/>
      <c r="G210" s="349"/>
      <c r="H210" s="349"/>
      <c r="I210" s="349"/>
      <c r="J210" s="349"/>
      <c r="K210" s="349"/>
      <c r="L210" s="349"/>
      <c r="M210" s="349"/>
      <c r="N210" s="349"/>
      <c r="O210" s="349"/>
      <c r="P210" s="349"/>
      <c r="Q210" s="349"/>
      <c r="R210" s="349"/>
      <c r="S210" s="349"/>
      <c r="T210" s="349"/>
      <c r="U210" s="349"/>
      <c r="V210" s="349"/>
      <c r="W210" s="349"/>
      <c r="X210" s="349"/>
      <c r="Y210" s="349"/>
      <c r="Z210" s="349"/>
      <c r="AA210" s="349"/>
      <c r="AB210" s="349"/>
      <c r="AC210" s="349"/>
      <c r="AD210" s="349"/>
      <c r="AE210" s="349"/>
      <c r="AF210" s="349"/>
      <c r="AG210" s="349"/>
      <c r="AH210" s="349"/>
      <c r="AI210" s="349"/>
      <c r="AJ210" s="349"/>
      <c r="AK210" s="349"/>
      <c r="AL210" s="349"/>
      <c r="AM210" s="349"/>
      <c r="AN210" s="349"/>
      <c r="AO210" s="349"/>
      <c r="AP210" s="349"/>
      <c r="AQ210" s="349"/>
      <c r="AR210" s="349"/>
      <c r="AS210" s="349"/>
      <c r="AT210" s="349"/>
      <c r="AU210" s="349"/>
      <c r="AV210" s="349"/>
      <c r="AW210" s="349"/>
      <c r="AX210" s="349"/>
      <c r="AY210" s="349"/>
      <c r="AZ210" s="349"/>
      <c r="BA210" s="349"/>
      <c r="BB210" s="349"/>
      <c r="BC210" s="349"/>
      <c r="BD210" s="349"/>
      <c r="BE210" s="349"/>
      <c r="BF210" s="349"/>
      <c r="BG210" s="349"/>
      <c r="BH210" s="349"/>
      <c r="BI210" s="349"/>
      <c r="BJ210" s="349"/>
      <c r="BK210" s="349"/>
      <c r="BL210" s="349"/>
      <c r="BM210" s="349"/>
      <c r="BN210" s="349"/>
      <c r="BO210" s="349"/>
      <c r="BP210" s="349"/>
      <c r="BQ210" s="349"/>
      <c r="BR210" s="349"/>
      <c r="BS210" s="349"/>
    </row>
    <row r="211" spans="1:71" x14ac:dyDescent="0.3">
      <c r="A211" s="349"/>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349"/>
      <c r="AC211" s="349"/>
      <c r="AD211" s="349"/>
      <c r="AE211" s="349"/>
      <c r="AF211" s="349"/>
      <c r="AG211" s="349"/>
      <c r="AH211" s="349"/>
      <c r="AI211" s="349"/>
      <c r="AJ211" s="349"/>
      <c r="AK211" s="349"/>
      <c r="AL211" s="349"/>
      <c r="AM211" s="349"/>
      <c r="AN211" s="349"/>
      <c r="AO211" s="349"/>
      <c r="AP211" s="349"/>
      <c r="AQ211" s="349"/>
      <c r="AR211" s="349"/>
      <c r="AS211" s="349"/>
      <c r="AT211" s="349"/>
      <c r="AU211" s="349"/>
      <c r="AV211" s="349"/>
      <c r="AW211" s="349"/>
      <c r="AX211" s="349"/>
      <c r="AY211" s="349"/>
      <c r="AZ211" s="349"/>
      <c r="BA211" s="349"/>
      <c r="BB211" s="349"/>
      <c r="BC211" s="349"/>
      <c r="BD211" s="349"/>
      <c r="BE211" s="349"/>
      <c r="BF211" s="349"/>
      <c r="BG211" s="349"/>
      <c r="BH211" s="349"/>
      <c r="BI211" s="349"/>
      <c r="BJ211" s="349"/>
      <c r="BK211" s="349"/>
      <c r="BL211" s="349"/>
      <c r="BM211" s="349"/>
      <c r="BN211" s="349"/>
      <c r="BO211" s="349"/>
      <c r="BP211" s="349"/>
      <c r="BQ211" s="349"/>
      <c r="BR211" s="349"/>
      <c r="BS211" s="349"/>
    </row>
    <row r="212" spans="1:71" x14ac:dyDescent="0.3">
      <c r="A212" s="349"/>
      <c r="B212" s="349"/>
      <c r="C212" s="349"/>
      <c r="D212" s="349"/>
      <c r="E212" s="349"/>
      <c r="F212" s="349"/>
      <c r="G212" s="349"/>
      <c r="H212" s="349"/>
      <c r="I212" s="349"/>
      <c r="J212" s="349"/>
      <c r="K212" s="349"/>
      <c r="L212" s="349"/>
      <c r="M212" s="349"/>
      <c r="N212" s="349"/>
      <c r="O212" s="349"/>
      <c r="P212" s="349"/>
      <c r="Q212" s="349"/>
      <c r="R212" s="349"/>
      <c r="S212" s="349"/>
      <c r="T212" s="349"/>
      <c r="U212" s="349"/>
      <c r="V212" s="349"/>
      <c r="W212" s="349"/>
      <c r="X212" s="349"/>
      <c r="Y212" s="349"/>
      <c r="Z212" s="349"/>
      <c r="AA212" s="349"/>
      <c r="AB212" s="349"/>
      <c r="AC212" s="349"/>
      <c r="AD212" s="349"/>
      <c r="AE212" s="349"/>
      <c r="AF212" s="349"/>
      <c r="AG212" s="349"/>
      <c r="AH212" s="349"/>
      <c r="AI212" s="349"/>
      <c r="AJ212" s="349"/>
      <c r="AK212" s="349"/>
      <c r="AL212" s="349"/>
      <c r="AM212" s="349"/>
      <c r="AN212" s="349"/>
      <c r="AO212" s="349"/>
      <c r="AP212" s="349"/>
      <c r="AQ212" s="349"/>
      <c r="AR212" s="349"/>
      <c r="AS212" s="349"/>
      <c r="AT212" s="349"/>
      <c r="AU212" s="349"/>
      <c r="AV212" s="349"/>
      <c r="AW212" s="349"/>
      <c r="AX212" s="349"/>
      <c r="AY212" s="349"/>
      <c r="AZ212" s="349"/>
      <c r="BA212" s="349"/>
      <c r="BB212" s="349"/>
      <c r="BC212" s="349"/>
      <c r="BD212" s="349"/>
      <c r="BE212" s="349"/>
      <c r="BF212" s="349"/>
      <c r="BG212" s="349"/>
      <c r="BH212" s="349"/>
      <c r="BI212" s="349"/>
      <c r="BJ212" s="349"/>
      <c r="BK212" s="349"/>
      <c r="BL212" s="349"/>
      <c r="BM212" s="349"/>
      <c r="BN212" s="349"/>
      <c r="BO212" s="349"/>
      <c r="BP212" s="349"/>
      <c r="BQ212" s="349"/>
      <c r="BR212" s="349"/>
      <c r="BS212" s="349"/>
    </row>
    <row r="213" spans="1:71" x14ac:dyDescent="0.3">
      <c r="A213" s="349"/>
      <c r="B213" s="349"/>
      <c r="C213" s="349"/>
      <c r="D213" s="349"/>
      <c r="E213" s="349"/>
      <c r="F213" s="349"/>
      <c r="G213" s="349"/>
      <c r="H213" s="349"/>
      <c r="I213" s="349"/>
      <c r="J213" s="349"/>
      <c r="K213" s="349"/>
      <c r="L213" s="349"/>
      <c r="M213" s="349"/>
      <c r="N213" s="349"/>
      <c r="O213" s="349"/>
      <c r="P213" s="349"/>
      <c r="Q213" s="349"/>
      <c r="R213" s="349"/>
      <c r="S213" s="349"/>
      <c r="T213" s="349"/>
      <c r="U213" s="349"/>
      <c r="V213" s="349"/>
      <c r="W213" s="349"/>
      <c r="X213" s="349"/>
      <c r="Y213" s="349"/>
      <c r="Z213" s="349"/>
      <c r="AA213" s="349"/>
      <c r="AB213" s="349"/>
      <c r="AC213" s="349"/>
      <c r="AD213" s="349"/>
      <c r="AE213" s="349"/>
      <c r="AF213" s="349"/>
      <c r="AG213" s="349"/>
      <c r="AH213" s="349"/>
      <c r="AI213" s="349"/>
      <c r="AJ213" s="349"/>
      <c r="AK213" s="349"/>
      <c r="AL213" s="349"/>
      <c r="AM213" s="349"/>
      <c r="AN213" s="349"/>
      <c r="AO213" s="349"/>
      <c r="AP213" s="349"/>
      <c r="AQ213" s="349"/>
      <c r="AR213" s="349"/>
      <c r="AS213" s="349"/>
      <c r="AT213" s="349"/>
      <c r="AU213" s="349"/>
      <c r="AV213" s="349"/>
      <c r="AW213" s="349"/>
      <c r="AX213" s="349"/>
      <c r="AY213" s="349"/>
      <c r="AZ213" s="349"/>
      <c r="BA213" s="349"/>
      <c r="BB213" s="349"/>
      <c r="BC213" s="349"/>
      <c r="BD213" s="349"/>
      <c r="BE213" s="349"/>
      <c r="BF213" s="349"/>
      <c r="BG213" s="349"/>
      <c r="BH213" s="349"/>
      <c r="BI213" s="349"/>
      <c r="BJ213" s="349"/>
      <c r="BK213" s="349"/>
      <c r="BL213" s="349"/>
      <c r="BM213" s="349"/>
      <c r="BN213" s="349"/>
      <c r="BO213" s="349"/>
      <c r="BP213" s="349"/>
      <c r="BQ213" s="349"/>
      <c r="BR213" s="349"/>
      <c r="BS213" s="349"/>
    </row>
    <row r="214" spans="1:71" x14ac:dyDescent="0.3">
      <c r="A214" s="349"/>
      <c r="B214" s="349"/>
      <c r="C214" s="349"/>
      <c r="D214" s="349"/>
      <c r="E214" s="349"/>
      <c r="F214" s="349"/>
      <c r="G214" s="349"/>
      <c r="H214" s="349"/>
      <c r="I214" s="349"/>
      <c r="J214" s="349"/>
      <c r="K214" s="349"/>
      <c r="L214" s="349"/>
      <c r="M214" s="349"/>
      <c r="N214" s="349"/>
      <c r="O214" s="349"/>
      <c r="P214" s="349"/>
      <c r="Q214" s="349"/>
      <c r="R214" s="349"/>
      <c r="S214" s="349"/>
      <c r="T214" s="349"/>
      <c r="U214" s="349"/>
      <c r="V214" s="349"/>
      <c r="W214" s="349"/>
      <c r="X214" s="349"/>
      <c r="Y214" s="349"/>
      <c r="Z214" s="349"/>
      <c r="AA214" s="349"/>
      <c r="AB214" s="349"/>
      <c r="AC214" s="349"/>
      <c r="AD214" s="349"/>
      <c r="AE214" s="349"/>
      <c r="AF214" s="349"/>
      <c r="AG214" s="349"/>
      <c r="AH214" s="349"/>
      <c r="AI214" s="349"/>
      <c r="AJ214" s="349"/>
      <c r="AK214" s="349"/>
      <c r="AL214" s="349"/>
      <c r="AM214" s="349"/>
      <c r="AN214" s="349"/>
      <c r="AO214" s="349"/>
      <c r="AP214" s="349"/>
      <c r="AQ214" s="349"/>
      <c r="AR214" s="349"/>
      <c r="AS214" s="349"/>
      <c r="AT214" s="349"/>
      <c r="AU214" s="349"/>
      <c r="AV214" s="349"/>
      <c r="AW214" s="349"/>
      <c r="AX214" s="349"/>
      <c r="AY214" s="349"/>
      <c r="AZ214" s="349"/>
      <c r="BA214" s="349"/>
      <c r="BB214" s="349"/>
      <c r="BC214" s="349"/>
      <c r="BD214" s="349"/>
      <c r="BE214" s="349"/>
      <c r="BF214" s="349"/>
      <c r="BG214" s="349"/>
      <c r="BH214" s="349"/>
      <c r="BI214" s="349"/>
      <c r="BJ214" s="349"/>
      <c r="BK214" s="349"/>
      <c r="BL214" s="349"/>
      <c r="BM214" s="349"/>
      <c r="BN214" s="349"/>
      <c r="BO214" s="349"/>
      <c r="BP214" s="349"/>
      <c r="BQ214" s="349"/>
      <c r="BR214" s="349"/>
      <c r="BS214" s="349"/>
    </row>
    <row r="215" spans="1:71" x14ac:dyDescent="0.3">
      <c r="A215" s="349"/>
      <c r="B215" s="349"/>
      <c r="C215" s="349"/>
      <c r="D215" s="349"/>
      <c r="E215" s="349"/>
      <c r="F215" s="349"/>
      <c r="G215" s="349"/>
      <c r="H215" s="349"/>
      <c r="I215" s="349"/>
      <c r="J215" s="349"/>
      <c r="K215" s="349"/>
      <c r="L215" s="349"/>
      <c r="M215" s="349"/>
      <c r="N215" s="349"/>
      <c r="O215" s="349"/>
      <c r="P215" s="349"/>
      <c r="Q215" s="349"/>
      <c r="R215" s="349"/>
      <c r="S215" s="349"/>
      <c r="T215" s="349"/>
      <c r="U215" s="349"/>
      <c r="V215" s="349"/>
      <c r="W215" s="349"/>
      <c r="X215" s="349"/>
      <c r="Y215" s="349"/>
      <c r="Z215" s="349"/>
      <c r="AA215" s="349"/>
      <c r="AB215" s="349"/>
      <c r="AC215" s="349"/>
      <c r="AD215" s="349"/>
      <c r="AE215" s="349"/>
      <c r="AF215" s="349"/>
      <c r="AG215" s="349"/>
      <c r="AH215" s="349"/>
      <c r="AI215" s="349"/>
      <c r="AJ215" s="349"/>
      <c r="AK215" s="349"/>
      <c r="AL215" s="349"/>
      <c r="AM215" s="349"/>
      <c r="AN215" s="349"/>
      <c r="AO215" s="349"/>
      <c r="AP215" s="349"/>
      <c r="AQ215" s="349"/>
      <c r="AR215" s="349"/>
      <c r="AS215" s="349"/>
      <c r="AT215" s="349"/>
      <c r="AU215" s="349"/>
      <c r="AV215" s="349"/>
      <c r="AW215" s="349"/>
      <c r="AX215" s="349"/>
      <c r="AY215" s="349"/>
      <c r="AZ215" s="349"/>
      <c r="BA215" s="349"/>
      <c r="BB215" s="349"/>
      <c r="BC215" s="349"/>
      <c r="BD215" s="349"/>
      <c r="BE215" s="349"/>
      <c r="BF215" s="349"/>
      <c r="BG215" s="349"/>
      <c r="BH215" s="349"/>
      <c r="BI215" s="349"/>
      <c r="BJ215" s="349"/>
      <c r="BK215" s="349"/>
      <c r="BL215" s="349"/>
      <c r="BM215" s="349"/>
      <c r="BN215" s="349"/>
      <c r="BO215" s="349"/>
      <c r="BP215" s="349"/>
      <c r="BQ215" s="349"/>
      <c r="BR215" s="349"/>
      <c r="BS215" s="349"/>
    </row>
    <row r="216" spans="1:71" x14ac:dyDescent="0.3">
      <c r="A216" s="349"/>
      <c r="B216" s="349"/>
      <c r="C216" s="349"/>
      <c r="D216" s="349"/>
      <c r="E216" s="349"/>
      <c r="F216" s="349"/>
      <c r="G216" s="349"/>
      <c r="H216" s="349"/>
      <c r="I216" s="349"/>
      <c r="J216" s="349"/>
      <c r="K216" s="349"/>
      <c r="L216" s="349"/>
      <c r="M216" s="349"/>
      <c r="N216" s="349"/>
      <c r="O216" s="349"/>
      <c r="P216" s="349"/>
      <c r="Q216" s="349"/>
      <c r="R216" s="349"/>
      <c r="S216" s="349"/>
      <c r="T216" s="349"/>
      <c r="U216" s="349"/>
      <c r="V216" s="349"/>
      <c r="W216" s="349"/>
      <c r="X216" s="349"/>
      <c r="Y216" s="349"/>
      <c r="Z216" s="349"/>
      <c r="AA216" s="349"/>
      <c r="AB216" s="349"/>
      <c r="AC216" s="349"/>
      <c r="AD216" s="349"/>
      <c r="AE216" s="349"/>
      <c r="AF216" s="349"/>
      <c r="AG216" s="349"/>
      <c r="AH216" s="349"/>
      <c r="AI216" s="349"/>
      <c r="AJ216" s="349"/>
      <c r="AK216" s="349"/>
      <c r="AL216" s="349"/>
      <c r="AM216" s="349"/>
      <c r="AN216" s="349"/>
      <c r="AO216" s="349"/>
      <c r="AP216" s="349"/>
      <c r="AQ216" s="349"/>
      <c r="AR216" s="349"/>
      <c r="AS216" s="349"/>
      <c r="AT216" s="349"/>
      <c r="AU216" s="349"/>
      <c r="AV216" s="349"/>
      <c r="AW216" s="349"/>
      <c r="AX216" s="349"/>
      <c r="AY216" s="349"/>
      <c r="AZ216" s="349"/>
      <c r="BA216" s="349"/>
      <c r="BB216" s="349"/>
      <c r="BC216" s="349"/>
      <c r="BD216" s="349"/>
      <c r="BE216" s="349"/>
      <c r="BF216" s="349"/>
      <c r="BG216" s="349"/>
      <c r="BH216" s="349"/>
      <c r="BI216" s="349"/>
      <c r="BJ216" s="349"/>
      <c r="BK216" s="349"/>
      <c r="BL216" s="349"/>
      <c r="BM216" s="349"/>
      <c r="BN216" s="349"/>
      <c r="BO216" s="349"/>
      <c r="BP216" s="349"/>
      <c r="BQ216" s="349"/>
      <c r="BR216" s="349"/>
      <c r="BS216" s="349"/>
    </row>
    <row r="217" spans="1:71" x14ac:dyDescent="0.3">
      <c r="A217" s="349"/>
      <c r="B217" s="349"/>
      <c r="C217" s="349"/>
      <c r="D217" s="349"/>
      <c r="E217" s="349"/>
      <c r="F217" s="349"/>
      <c r="G217" s="349"/>
      <c r="H217" s="349"/>
      <c r="I217" s="349"/>
      <c r="J217" s="349"/>
      <c r="K217" s="349"/>
      <c r="L217" s="349"/>
      <c r="M217" s="349"/>
      <c r="N217" s="349"/>
      <c r="O217" s="349"/>
      <c r="P217" s="349"/>
      <c r="Q217" s="349"/>
      <c r="R217" s="349"/>
      <c r="S217" s="349"/>
      <c r="T217" s="349"/>
      <c r="U217" s="349"/>
      <c r="V217" s="349"/>
      <c r="W217" s="349"/>
      <c r="X217" s="349"/>
      <c r="Y217" s="349"/>
      <c r="Z217" s="349"/>
      <c r="AA217" s="349"/>
      <c r="AB217" s="349"/>
      <c r="AC217" s="349"/>
      <c r="AD217" s="349"/>
      <c r="AE217" s="349"/>
      <c r="AF217" s="349"/>
      <c r="AG217" s="349"/>
      <c r="AH217" s="349"/>
      <c r="AI217" s="349"/>
      <c r="AJ217" s="349"/>
      <c r="AK217" s="349"/>
      <c r="AL217" s="349"/>
      <c r="AM217" s="349"/>
      <c r="AN217" s="349"/>
      <c r="AO217" s="349"/>
      <c r="AP217" s="349"/>
      <c r="AQ217" s="349"/>
      <c r="AR217" s="349"/>
      <c r="AS217" s="349"/>
      <c r="AT217" s="349"/>
      <c r="AU217" s="349"/>
      <c r="AV217" s="349"/>
      <c r="AW217" s="349"/>
      <c r="AX217" s="349"/>
      <c r="AY217" s="349"/>
      <c r="AZ217" s="349"/>
      <c r="BA217" s="349"/>
      <c r="BB217" s="349"/>
      <c r="BC217" s="349"/>
      <c r="BD217" s="349"/>
      <c r="BE217" s="349"/>
      <c r="BF217" s="349"/>
      <c r="BG217" s="349"/>
      <c r="BH217" s="349"/>
      <c r="BI217" s="349"/>
      <c r="BJ217" s="349"/>
      <c r="BK217" s="349"/>
      <c r="BL217" s="349"/>
      <c r="BM217" s="349"/>
      <c r="BN217" s="349"/>
      <c r="BO217" s="349"/>
      <c r="BP217" s="349"/>
      <c r="BQ217" s="349"/>
      <c r="BR217" s="349"/>
      <c r="BS217" s="349"/>
    </row>
    <row r="218" spans="1:71" x14ac:dyDescent="0.3">
      <c r="A218" s="349"/>
      <c r="B218" s="349"/>
      <c r="C218" s="349"/>
      <c r="D218" s="349"/>
      <c r="E218" s="349"/>
      <c r="F218" s="349"/>
      <c r="G218" s="349"/>
      <c r="H218" s="349"/>
      <c r="I218" s="349"/>
      <c r="J218" s="349"/>
      <c r="K218" s="349"/>
      <c r="L218" s="349"/>
      <c r="M218" s="349"/>
      <c r="N218" s="349"/>
      <c r="O218" s="349"/>
      <c r="P218" s="349"/>
      <c r="Q218" s="349"/>
      <c r="R218" s="349"/>
      <c r="S218" s="349"/>
      <c r="T218" s="349"/>
      <c r="U218" s="349"/>
      <c r="V218" s="349"/>
      <c r="W218" s="349"/>
      <c r="X218" s="349"/>
      <c r="Y218" s="349"/>
      <c r="Z218" s="349"/>
      <c r="AA218" s="349"/>
      <c r="AB218" s="349"/>
      <c r="AC218" s="349"/>
      <c r="AD218" s="349"/>
      <c r="AE218" s="349"/>
      <c r="AF218" s="349"/>
      <c r="AG218" s="349"/>
      <c r="AH218" s="349"/>
      <c r="AI218" s="349"/>
      <c r="AJ218" s="349"/>
      <c r="AK218" s="349"/>
      <c r="AL218" s="349"/>
      <c r="AM218" s="349"/>
      <c r="AN218" s="349"/>
      <c r="AO218" s="349"/>
      <c r="AP218" s="349"/>
      <c r="AQ218" s="349"/>
      <c r="AR218" s="349"/>
      <c r="AS218" s="349"/>
      <c r="AT218" s="349"/>
      <c r="AU218" s="349"/>
      <c r="AV218" s="349"/>
      <c r="AW218" s="349"/>
      <c r="AX218" s="349"/>
      <c r="AY218" s="349"/>
      <c r="AZ218" s="349"/>
      <c r="BA218" s="349"/>
      <c r="BB218" s="349"/>
      <c r="BC218" s="349"/>
      <c r="BD218" s="349"/>
      <c r="BE218" s="349"/>
      <c r="BF218" s="349"/>
      <c r="BG218" s="349"/>
      <c r="BH218" s="349"/>
      <c r="BI218" s="349"/>
      <c r="BJ218" s="349"/>
      <c r="BK218" s="349"/>
      <c r="BL218" s="349"/>
      <c r="BM218" s="349"/>
      <c r="BN218" s="349"/>
      <c r="BO218" s="349"/>
      <c r="BP218" s="349"/>
      <c r="BQ218" s="349"/>
      <c r="BR218" s="349"/>
      <c r="BS218" s="349"/>
    </row>
    <row r="219" spans="1:71" x14ac:dyDescent="0.3">
      <c r="A219" s="349"/>
      <c r="B219" s="349"/>
      <c r="C219" s="349"/>
      <c r="D219" s="349"/>
      <c r="E219" s="349"/>
      <c r="F219" s="349"/>
      <c r="G219" s="349"/>
      <c r="H219" s="349"/>
      <c r="I219" s="349"/>
      <c r="J219" s="349"/>
      <c r="K219" s="349"/>
      <c r="L219" s="349"/>
      <c r="M219" s="349"/>
      <c r="N219" s="349"/>
      <c r="O219" s="349"/>
      <c r="P219" s="349"/>
      <c r="Q219" s="349"/>
      <c r="R219" s="349"/>
      <c r="S219" s="349"/>
      <c r="T219" s="349"/>
      <c r="U219" s="349"/>
      <c r="V219" s="349"/>
      <c r="W219" s="349"/>
      <c r="X219" s="349"/>
      <c r="Y219" s="349"/>
      <c r="Z219" s="349"/>
      <c r="AA219" s="349"/>
      <c r="AB219" s="349"/>
      <c r="AC219" s="349"/>
      <c r="AD219" s="349"/>
      <c r="AE219" s="349"/>
      <c r="AF219" s="349"/>
      <c r="AG219" s="349"/>
      <c r="AH219" s="349"/>
      <c r="AI219" s="349"/>
      <c r="AJ219" s="349"/>
      <c r="AK219" s="349"/>
      <c r="AL219" s="349"/>
      <c r="AM219" s="349"/>
      <c r="AN219" s="349"/>
      <c r="AO219" s="349"/>
      <c r="AP219" s="349"/>
      <c r="AQ219" s="349"/>
      <c r="AR219" s="349"/>
      <c r="AS219" s="349"/>
      <c r="AT219" s="349"/>
      <c r="AU219" s="349"/>
      <c r="AV219" s="349"/>
      <c r="AW219" s="349"/>
      <c r="AX219" s="349"/>
      <c r="AY219" s="349"/>
      <c r="AZ219" s="349"/>
      <c r="BA219" s="349"/>
      <c r="BB219" s="349"/>
      <c r="BC219" s="349"/>
      <c r="BD219" s="349"/>
      <c r="BE219" s="349"/>
      <c r="BF219" s="349"/>
      <c r="BG219" s="349"/>
      <c r="BH219" s="349"/>
      <c r="BI219" s="349"/>
      <c r="BJ219" s="349"/>
      <c r="BK219" s="349"/>
      <c r="BL219" s="349"/>
      <c r="BM219" s="349"/>
      <c r="BN219" s="349"/>
      <c r="BO219" s="349"/>
      <c r="BP219" s="349"/>
      <c r="BQ219" s="349"/>
      <c r="BR219" s="349"/>
      <c r="BS219" s="349"/>
    </row>
    <row r="220" spans="1:71" x14ac:dyDescent="0.3">
      <c r="A220" s="349"/>
      <c r="B220" s="349"/>
      <c r="C220" s="349"/>
      <c r="D220" s="349"/>
      <c r="E220" s="349"/>
      <c r="F220" s="349"/>
      <c r="G220" s="349"/>
      <c r="H220" s="349"/>
      <c r="I220" s="349"/>
      <c r="J220" s="349"/>
      <c r="K220" s="349"/>
      <c r="L220" s="349"/>
      <c r="M220" s="349"/>
      <c r="N220" s="349"/>
      <c r="O220" s="349"/>
      <c r="P220" s="349"/>
      <c r="Q220" s="349"/>
      <c r="R220" s="349"/>
      <c r="S220" s="349"/>
      <c r="T220" s="349"/>
      <c r="U220" s="349"/>
      <c r="V220" s="349"/>
      <c r="W220" s="349"/>
      <c r="X220" s="349"/>
      <c r="Y220" s="349"/>
      <c r="Z220" s="349"/>
      <c r="AA220" s="349"/>
      <c r="AB220" s="349"/>
      <c r="AC220" s="349"/>
      <c r="AD220" s="349"/>
      <c r="AE220" s="349"/>
      <c r="AF220" s="349"/>
      <c r="AG220" s="349"/>
      <c r="AH220" s="349"/>
      <c r="AI220" s="349"/>
      <c r="AJ220" s="349"/>
      <c r="AK220" s="349"/>
      <c r="AL220" s="349"/>
      <c r="AM220" s="349"/>
      <c r="AN220" s="349"/>
      <c r="AO220" s="349"/>
      <c r="AP220" s="349"/>
      <c r="AQ220" s="349"/>
      <c r="AR220" s="349"/>
      <c r="AS220" s="349"/>
      <c r="AT220" s="349"/>
      <c r="AU220" s="349"/>
      <c r="AV220" s="349"/>
      <c r="AW220" s="349"/>
      <c r="AX220" s="349"/>
      <c r="AY220" s="349"/>
      <c r="AZ220" s="349"/>
      <c r="BA220" s="349"/>
      <c r="BB220" s="349"/>
      <c r="BC220" s="349"/>
      <c r="BD220" s="349"/>
      <c r="BE220" s="349"/>
      <c r="BF220" s="349"/>
      <c r="BG220" s="349"/>
      <c r="BH220" s="349"/>
      <c r="BI220" s="349"/>
      <c r="BJ220" s="349"/>
      <c r="BK220" s="349"/>
      <c r="BL220" s="349"/>
      <c r="BM220" s="349"/>
      <c r="BN220" s="349"/>
      <c r="BO220" s="349"/>
      <c r="BP220" s="349"/>
      <c r="BQ220" s="349"/>
      <c r="BR220" s="349"/>
      <c r="BS220" s="349"/>
    </row>
    <row r="221" spans="1:71" x14ac:dyDescent="0.3">
      <c r="A221" s="349"/>
      <c r="B221" s="349"/>
      <c r="C221" s="349"/>
      <c r="D221" s="349"/>
      <c r="E221" s="349"/>
      <c r="F221" s="349"/>
      <c r="G221" s="349"/>
      <c r="H221" s="349"/>
      <c r="I221" s="349"/>
      <c r="J221" s="349"/>
      <c r="K221" s="349"/>
      <c r="L221" s="349"/>
      <c r="M221" s="349"/>
      <c r="N221" s="349"/>
      <c r="O221" s="349"/>
      <c r="P221" s="349"/>
      <c r="Q221" s="349"/>
      <c r="R221" s="349"/>
      <c r="S221" s="349"/>
      <c r="T221" s="349"/>
      <c r="U221" s="349"/>
      <c r="V221" s="349"/>
      <c r="W221" s="349"/>
      <c r="X221" s="349"/>
      <c r="Y221" s="349"/>
      <c r="Z221" s="349"/>
      <c r="AA221" s="349"/>
      <c r="AB221" s="349"/>
      <c r="AC221" s="349"/>
      <c r="AD221" s="349"/>
      <c r="AE221" s="349"/>
      <c r="AF221" s="349"/>
      <c r="AG221" s="349"/>
      <c r="AH221" s="349"/>
      <c r="AI221" s="349"/>
      <c r="AJ221" s="349"/>
      <c r="AK221" s="349"/>
      <c r="AL221" s="349"/>
      <c r="AM221" s="349"/>
      <c r="AN221" s="349"/>
      <c r="AO221" s="349"/>
      <c r="AP221" s="349"/>
      <c r="AQ221" s="349"/>
      <c r="AR221" s="349"/>
      <c r="AS221" s="349"/>
      <c r="AT221" s="349"/>
      <c r="AU221" s="349"/>
      <c r="AV221" s="349"/>
      <c r="AW221" s="349"/>
      <c r="AX221" s="349"/>
      <c r="AY221" s="349"/>
      <c r="AZ221" s="349"/>
      <c r="BA221" s="349"/>
      <c r="BB221" s="349"/>
      <c r="BC221" s="349"/>
      <c r="BD221" s="349"/>
      <c r="BE221" s="349"/>
      <c r="BF221" s="349"/>
      <c r="BG221" s="349"/>
      <c r="BH221" s="349"/>
      <c r="BI221" s="349"/>
      <c r="BJ221" s="349"/>
      <c r="BK221" s="349"/>
      <c r="BL221" s="349"/>
      <c r="BM221" s="349"/>
      <c r="BN221" s="349"/>
      <c r="BO221" s="349"/>
      <c r="BP221" s="349"/>
      <c r="BQ221" s="349"/>
      <c r="BR221" s="349"/>
      <c r="BS221" s="349"/>
    </row>
    <row r="222" spans="1:71" x14ac:dyDescent="0.3">
      <c r="A222" s="349"/>
      <c r="B222" s="349"/>
      <c r="C222" s="349"/>
      <c r="D222" s="349"/>
      <c r="E222" s="349"/>
      <c r="F222" s="349"/>
      <c r="G222" s="349"/>
      <c r="H222" s="349"/>
      <c r="I222" s="349"/>
      <c r="J222" s="349"/>
      <c r="K222" s="349"/>
      <c r="L222" s="349"/>
      <c r="M222" s="349"/>
      <c r="N222" s="349"/>
      <c r="O222" s="349"/>
      <c r="P222" s="349"/>
      <c r="Q222" s="349"/>
      <c r="R222" s="349"/>
      <c r="S222" s="349"/>
      <c r="T222" s="349"/>
      <c r="U222" s="349"/>
      <c r="V222" s="349"/>
      <c r="W222" s="349"/>
      <c r="X222" s="349"/>
      <c r="Y222" s="349"/>
      <c r="Z222" s="349"/>
      <c r="AA222" s="349"/>
      <c r="AB222" s="349"/>
      <c r="AC222" s="349"/>
      <c r="AD222" s="349"/>
      <c r="AE222" s="349"/>
      <c r="AF222" s="349"/>
      <c r="AG222" s="349"/>
      <c r="AH222" s="349"/>
      <c r="AI222" s="349"/>
      <c r="AJ222" s="349"/>
      <c r="AK222" s="349"/>
      <c r="AL222" s="349"/>
      <c r="AM222" s="349"/>
      <c r="AN222" s="349"/>
      <c r="AO222" s="349"/>
      <c r="AP222" s="349"/>
      <c r="AQ222" s="349"/>
      <c r="AR222" s="349"/>
      <c r="AS222" s="349"/>
      <c r="AT222" s="349"/>
      <c r="AU222" s="349"/>
      <c r="AV222" s="349"/>
      <c r="AW222" s="349"/>
      <c r="AX222" s="349"/>
      <c r="AY222" s="349"/>
      <c r="AZ222" s="349"/>
      <c r="BA222" s="349"/>
      <c r="BB222" s="349"/>
      <c r="BC222" s="349"/>
      <c r="BD222" s="349"/>
      <c r="BE222" s="349"/>
      <c r="BF222" s="349"/>
      <c r="BG222" s="349"/>
      <c r="BH222" s="349"/>
      <c r="BI222" s="349"/>
      <c r="BJ222" s="349"/>
      <c r="BK222" s="349"/>
      <c r="BL222" s="349"/>
      <c r="BM222" s="349"/>
      <c r="BN222" s="349"/>
      <c r="BO222" s="349"/>
      <c r="BP222" s="349"/>
      <c r="BQ222" s="349"/>
      <c r="BR222" s="349"/>
      <c r="BS222" s="349"/>
    </row>
    <row r="223" spans="1:71" x14ac:dyDescent="0.3">
      <c r="A223" s="349"/>
      <c r="B223" s="349"/>
      <c r="C223" s="349"/>
      <c r="D223" s="349"/>
      <c r="E223" s="349"/>
      <c r="F223" s="349"/>
      <c r="G223" s="349"/>
      <c r="H223" s="349"/>
      <c r="I223" s="349"/>
      <c r="J223" s="349"/>
      <c r="K223" s="349"/>
      <c r="L223" s="349"/>
      <c r="M223" s="349"/>
      <c r="N223" s="349"/>
      <c r="O223" s="349"/>
      <c r="P223" s="349"/>
      <c r="Q223" s="349"/>
      <c r="R223" s="349"/>
      <c r="S223" s="349"/>
      <c r="T223" s="349"/>
      <c r="U223" s="349"/>
      <c r="V223" s="349"/>
      <c r="W223" s="349"/>
      <c r="X223" s="349"/>
      <c r="Y223" s="349"/>
      <c r="Z223" s="349"/>
      <c r="AA223" s="349"/>
      <c r="AB223" s="349"/>
      <c r="AC223" s="349"/>
      <c r="AD223" s="349"/>
      <c r="AE223" s="349"/>
      <c r="AF223" s="349"/>
      <c r="AG223" s="349"/>
      <c r="AH223" s="349"/>
      <c r="AI223" s="349"/>
      <c r="AJ223" s="349"/>
      <c r="AK223" s="349"/>
      <c r="AL223" s="349"/>
      <c r="AM223" s="349"/>
      <c r="AN223" s="349"/>
      <c r="AO223" s="349"/>
      <c r="AP223" s="349"/>
      <c r="AQ223" s="349"/>
      <c r="AR223" s="349"/>
      <c r="AS223" s="349"/>
      <c r="AT223" s="349"/>
      <c r="AU223" s="349"/>
      <c r="AV223" s="349"/>
      <c r="AW223" s="349"/>
      <c r="AX223" s="349"/>
      <c r="AY223" s="349"/>
      <c r="AZ223" s="349"/>
      <c r="BA223" s="349"/>
      <c r="BB223" s="349"/>
      <c r="BC223" s="349"/>
      <c r="BD223" s="349"/>
      <c r="BE223" s="349"/>
      <c r="BF223" s="349"/>
      <c r="BG223" s="349"/>
      <c r="BH223" s="349"/>
      <c r="BI223" s="349"/>
      <c r="BJ223" s="349"/>
      <c r="BK223" s="349"/>
      <c r="BL223" s="349"/>
      <c r="BM223" s="349"/>
      <c r="BN223" s="349"/>
      <c r="BO223" s="349"/>
      <c r="BP223" s="349"/>
      <c r="BQ223" s="349"/>
      <c r="BR223" s="349"/>
      <c r="BS223" s="349"/>
    </row>
    <row r="224" spans="1:71" x14ac:dyDescent="0.3">
      <c r="A224" s="349"/>
      <c r="B224" s="349"/>
      <c r="C224" s="349"/>
      <c r="D224" s="349"/>
      <c r="E224" s="349"/>
      <c r="F224" s="349"/>
      <c r="G224" s="349"/>
      <c r="H224" s="349"/>
      <c r="I224" s="349"/>
      <c r="J224" s="349"/>
      <c r="K224" s="349"/>
      <c r="L224" s="349"/>
      <c r="M224" s="349"/>
      <c r="N224" s="349"/>
      <c r="O224" s="349"/>
      <c r="P224" s="349"/>
      <c r="Q224" s="349"/>
      <c r="R224" s="349"/>
      <c r="S224" s="349"/>
      <c r="T224" s="349"/>
      <c r="U224" s="349"/>
      <c r="V224" s="349"/>
      <c r="W224" s="349"/>
      <c r="X224" s="349"/>
      <c r="Y224" s="349"/>
      <c r="Z224" s="349"/>
      <c r="AA224" s="349"/>
      <c r="AB224" s="349"/>
      <c r="AC224" s="349"/>
      <c r="AD224" s="349"/>
      <c r="AE224" s="349"/>
      <c r="AF224" s="349"/>
      <c r="AG224" s="349"/>
      <c r="AH224" s="349"/>
      <c r="AI224" s="349"/>
      <c r="AJ224" s="349"/>
      <c r="AK224" s="349"/>
      <c r="AL224" s="349"/>
      <c r="AM224" s="349"/>
      <c r="AN224" s="349"/>
      <c r="AO224" s="349"/>
      <c r="AP224" s="349"/>
      <c r="AQ224" s="349"/>
      <c r="AR224" s="349"/>
      <c r="AS224" s="349"/>
      <c r="AT224" s="349"/>
      <c r="AU224" s="349"/>
      <c r="AV224" s="349"/>
      <c r="AW224" s="349"/>
      <c r="AX224" s="349"/>
      <c r="AY224" s="349"/>
      <c r="AZ224" s="349"/>
      <c r="BA224" s="349"/>
      <c r="BB224" s="349"/>
      <c r="BC224" s="349"/>
      <c r="BD224" s="349"/>
      <c r="BE224" s="349"/>
      <c r="BF224" s="349"/>
      <c r="BG224" s="349"/>
      <c r="BH224" s="349"/>
      <c r="BI224" s="349"/>
      <c r="BJ224" s="349"/>
      <c r="BK224" s="349"/>
      <c r="BL224" s="349"/>
      <c r="BM224" s="349"/>
      <c r="BN224" s="349"/>
      <c r="BO224" s="349"/>
      <c r="BP224" s="349"/>
      <c r="BQ224" s="349"/>
      <c r="BR224" s="349"/>
      <c r="BS224" s="349"/>
    </row>
    <row r="225" spans="1:71" x14ac:dyDescent="0.3">
      <c r="A225" s="349"/>
      <c r="B225" s="349"/>
      <c r="C225" s="349"/>
      <c r="D225" s="349"/>
      <c r="E225" s="349"/>
      <c r="F225" s="349"/>
      <c r="G225" s="349"/>
      <c r="H225" s="349"/>
      <c r="I225" s="349"/>
      <c r="J225" s="349"/>
      <c r="K225" s="349"/>
      <c r="L225" s="349"/>
      <c r="M225" s="349"/>
      <c r="N225" s="349"/>
      <c r="O225" s="349"/>
      <c r="P225" s="349"/>
      <c r="Q225" s="349"/>
      <c r="R225" s="349"/>
      <c r="S225" s="349"/>
      <c r="T225" s="349"/>
      <c r="U225" s="349"/>
      <c r="V225" s="349"/>
      <c r="W225" s="349"/>
      <c r="X225" s="349"/>
      <c r="Y225" s="349"/>
      <c r="Z225" s="349"/>
      <c r="AA225" s="349"/>
      <c r="AB225" s="349"/>
      <c r="AC225" s="349"/>
      <c r="AD225" s="349"/>
      <c r="AE225" s="349"/>
      <c r="AF225" s="349"/>
      <c r="AG225" s="349"/>
      <c r="AH225" s="349"/>
      <c r="AI225" s="349"/>
      <c r="AJ225" s="349"/>
      <c r="AK225" s="349"/>
      <c r="AL225" s="349"/>
      <c r="AM225" s="349"/>
      <c r="AN225" s="349"/>
      <c r="AO225" s="349"/>
      <c r="AP225" s="349"/>
      <c r="AQ225" s="349"/>
      <c r="AR225" s="349"/>
      <c r="AS225" s="349"/>
      <c r="AT225" s="349"/>
      <c r="AU225" s="349"/>
      <c r="AV225" s="349"/>
      <c r="AW225" s="349"/>
      <c r="AX225" s="349"/>
      <c r="AY225" s="349"/>
      <c r="AZ225" s="349"/>
      <c r="BA225" s="349"/>
      <c r="BB225" s="349"/>
      <c r="BC225" s="349"/>
      <c r="BD225" s="349"/>
      <c r="BE225" s="349"/>
      <c r="BF225" s="349"/>
      <c r="BG225" s="349"/>
      <c r="BH225" s="349"/>
      <c r="BI225" s="349"/>
      <c r="BJ225" s="349"/>
      <c r="BK225" s="349"/>
      <c r="BL225" s="349"/>
      <c r="BM225" s="349"/>
      <c r="BN225" s="349"/>
      <c r="BO225" s="349"/>
      <c r="BP225" s="349"/>
      <c r="BQ225" s="349"/>
      <c r="BR225" s="349"/>
      <c r="BS225" s="349"/>
    </row>
    <row r="226" spans="1:71" x14ac:dyDescent="0.3">
      <c r="A226" s="349"/>
      <c r="B226" s="349"/>
      <c r="C226" s="349"/>
      <c r="D226" s="349"/>
      <c r="E226" s="349"/>
      <c r="F226" s="349"/>
      <c r="G226" s="349"/>
      <c r="H226" s="349"/>
      <c r="I226" s="349"/>
      <c r="J226" s="349"/>
      <c r="K226" s="349"/>
      <c r="L226" s="349"/>
      <c r="M226" s="349"/>
      <c r="N226" s="349"/>
      <c r="O226" s="349"/>
      <c r="P226" s="349"/>
      <c r="Q226" s="349"/>
      <c r="R226" s="349"/>
      <c r="S226" s="349"/>
      <c r="T226" s="349"/>
      <c r="U226" s="349"/>
      <c r="V226" s="349"/>
      <c r="W226" s="349"/>
      <c r="X226" s="349"/>
      <c r="Y226" s="349"/>
      <c r="Z226" s="349"/>
      <c r="AA226" s="349"/>
      <c r="AB226" s="349"/>
      <c r="AC226" s="349"/>
      <c r="AD226" s="349"/>
      <c r="AE226" s="349"/>
      <c r="AF226" s="349"/>
      <c r="AG226" s="349"/>
      <c r="AH226" s="349"/>
      <c r="AI226" s="349"/>
      <c r="AJ226" s="349"/>
      <c r="AK226" s="349"/>
      <c r="AL226" s="349"/>
      <c r="AM226" s="349"/>
      <c r="AN226" s="349"/>
      <c r="AO226" s="349"/>
      <c r="AP226" s="349"/>
      <c r="AQ226" s="349"/>
      <c r="AR226" s="349"/>
      <c r="AS226" s="349"/>
      <c r="AT226" s="349"/>
      <c r="AU226" s="349"/>
      <c r="AV226" s="349"/>
      <c r="AW226" s="349"/>
      <c r="AX226" s="349"/>
      <c r="AY226" s="349"/>
      <c r="AZ226" s="349"/>
      <c r="BA226" s="349"/>
      <c r="BB226" s="349"/>
      <c r="BC226" s="349"/>
      <c r="BD226" s="349"/>
      <c r="BE226" s="349"/>
      <c r="BF226" s="349"/>
      <c r="BG226" s="349"/>
      <c r="BH226" s="349"/>
      <c r="BI226" s="349"/>
      <c r="BJ226" s="349"/>
      <c r="BK226" s="349"/>
      <c r="BL226" s="349"/>
      <c r="BM226" s="349"/>
      <c r="BN226" s="349"/>
      <c r="BO226" s="349"/>
      <c r="BP226" s="349"/>
      <c r="BQ226" s="349"/>
      <c r="BR226" s="349"/>
      <c r="BS226" s="349"/>
    </row>
    <row r="227" spans="1:71" x14ac:dyDescent="0.3">
      <c r="A227" s="349"/>
      <c r="B227" s="349"/>
      <c r="C227" s="349"/>
      <c r="D227" s="349"/>
      <c r="E227" s="349"/>
      <c r="F227" s="349"/>
      <c r="G227" s="349"/>
      <c r="H227" s="349"/>
      <c r="I227" s="349"/>
      <c r="J227" s="349"/>
      <c r="K227" s="349"/>
      <c r="L227" s="349"/>
      <c r="M227" s="349"/>
      <c r="N227" s="349"/>
      <c r="O227" s="349"/>
      <c r="P227" s="349"/>
      <c r="Q227" s="349"/>
      <c r="R227" s="349"/>
      <c r="S227" s="349"/>
      <c r="T227" s="349"/>
      <c r="U227" s="349"/>
      <c r="V227" s="349"/>
      <c r="W227" s="349"/>
      <c r="X227" s="349"/>
      <c r="Y227" s="349"/>
      <c r="Z227" s="349"/>
      <c r="AA227" s="349"/>
      <c r="AB227" s="349"/>
      <c r="AC227" s="349"/>
      <c r="AD227" s="349"/>
      <c r="AE227" s="349"/>
      <c r="AF227" s="349"/>
      <c r="AG227" s="349"/>
      <c r="AH227" s="349"/>
      <c r="AI227" s="349"/>
      <c r="AJ227" s="349"/>
      <c r="AK227" s="349"/>
      <c r="AL227" s="349"/>
      <c r="AM227" s="349"/>
      <c r="AN227" s="349"/>
      <c r="AO227" s="349"/>
      <c r="AP227" s="349"/>
      <c r="AQ227" s="349"/>
      <c r="AR227" s="349"/>
      <c r="AS227" s="349"/>
      <c r="AT227" s="349"/>
      <c r="AU227" s="349"/>
      <c r="AV227" s="349"/>
      <c r="AW227" s="349"/>
      <c r="AX227" s="349"/>
      <c r="AY227" s="349"/>
      <c r="AZ227" s="349"/>
      <c r="BA227" s="349"/>
      <c r="BB227" s="349"/>
      <c r="BC227" s="349"/>
      <c r="BD227" s="349"/>
      <c r="BE227" s="349"/>
      <c r="BF227" s="349"/>
      <c r="BG227" s="349"/>
      <c r="BH227" s="349"/>
      <c r="BI227" s="349"/>
      <c r="BJ227" s="349"/>
      <c r="BK227" s="349"/>
      <c r="BL227" s="349"/>
      <c r="BM227" s="349"/>
      <c r="BN227" s="349"/>
      <c r="BO227" s="349"/>
      <c r="BP227" s="349"/>
      <c r="BQ227" s="349"/>
      <c r="BR227" s="349"/>
      <c r="BS227" s="349"/>
    </row>
    <row r="228" spans="1:71" x14ac:dyDescent="0.3">
      <c r="A228" s="349"/>
      <c r="B228" s="349"/>
      <c r="C228" s="349"/>
      <c r="D228" s="349"/>
      <c r="E228" s="349"/>
      <c r="F228" s="349"/>
      <c r="G228" s="349"/>
      <c r="H228" s="349"/>
      <c r="I228" s="349"/>
      <c r="J228" s="349"/>
      <c r="K228" s="349"/>
      <c r="L228" s="349"/>
      <c r="M228" s="349"/>
      <c r="N228" s="349"/>
      <c r="O228" s="349"/>
      <c r="P228" s="349"/>
      <c r="Q228" s="349"/>
      <c r="R228" s="349"/>
      <c r="S228" s="349"/>
      <c r="T228" s="349"/>
      <c r="U228" s="349"/>
      <c r="V228" s="349"/>
      <c r="W228" s="349"/>
      <c r="X228" s="349"/>
      <c r="Y228" s="349"/>
      <c r="Z228" s="349"/>
      <c r="AA228" s="349"/>
      <c r="AB228" s="349"/>
      <c r="AC228" s="349"/>
      <c r="AD228" s="349"/>
      <c r="AE228" s="349"/>
      <c r="AF228" s="349"/>
      <c r="AG228" s="349"/>
      <c r="AH228" s="349"/>
      <c r="AI228" s="349"/>
      <c r="AJ228" s="349"/>
      <c r="AK228" s="349"/>
      <c r="AL228" s="349"/>
      <c r="AM228" s="349"/>
      <c r="AN228" s="349"/>
      <c r="AO228" s="349"/>
      <c r="AP228" s="349"/>
      <c r="AQ228" s="349"/>
      <c r="AR228" s="349"/>
      <c r="AS228" s="349"/>
      <c r="AT228" s="349"/>
      <c r="AU228" s="349"/>
      <c r="AV228" s="349"/>
      <c r="AW228" s="349"/>
      <c r="AX228" s="349"/>
      <c r="AY228" s="349"/>
      <c r="AZ228" s="349"/>
      <c r="BA228" s="349"/>
      <c r="BB228" s="349"/>
      <c r="BC228" s="349"/>
      <c r="BD228" s="349"/>
      <c r="BE228" s="349"/>
      <c r="BF228" s="349"/>
      <c r="BG228" s="349"/>
      <c r="BH228" s="349"/>
      <c r="BI228" s="349"/>
      <c r="BJ228" s="349"/>
      <c r="BK228" s="349"/>
      <c r="BL228" s="349"/>
      <c r="BM228" s="349"/>
      <c r="BN228" s="349"/>
      <c r="BO228" s="349"/>
      <c r="BP228" s="349"/>
      <c r="BQ228" s="349"/>
      <c r="BR228" s="349"/>
      <c r="BS228" s="349"/>
    </row>
    <row r="229" spans="1:71" x14ac:dyDescent="0.3">
      <c r="A229" s="349"/>
      <c r="B229" s="349"/>
      <c r="C229" s="349"/>
      <c r="D229" s="349"/>
      <c r="E229" s="349"/>
      <c r="F229" s="349"/>
      <c r="G229" s="349"/>
      <c r="H229" s="349"/>
      <c r="I229" s="349"/>
      <c r="J229" s="349"/>
      <c r="K229" s="349"/>
      <c r="L229" s="349"/>
      <c r="M229" s="349"/>
      <c r="N229" s="349"/>
      <c r="O229" s="349"/>
      <c r="P229" s="349"/>
      <c r="Q229" s="349"/>
      <c r="R229" s="349"/>
      <c r="S229" s="349"/>
      <c r="T229" s="349"/>
      <c r="U229" s="349"/>
      <c r="V229" s="349"/>
      <c r="W229" s="349"/>
      <c r="X229" s="349"/>
      <c r="Y229" s="349"/>
      <c r="Z229" s="349"/>
      <c r="AA229" s="349"/>
      <c r="AB229" s="349"/>
      <c r="AC229" s="349"/>
      <c r="AD229" s="349"/>
      <c r="AE229" s="349"/>
      <c r="AF229" s="349"/>
      <c r="AG229" s="349"/>
      <c r="AH229" s="349"/>
      <c r="AI229" s="349"/>
      <c r="AJ229" s="349"/>
      <c r="AK229" s="349"/>
      <c r="AL229" s="349"/>
      <c r="AM229" s="349"/>
      <c r="AN229" s="349"/>
      <c r="AO229" s="349"/>
      <c r="AP229" s="349"/>
      <c r="AQ229" s="349"/>
      <c r="AR229" s="349"/>
      <c r="AS229" s="349"/>
      <c r="AT229" s="349"/>
      <c r="AU229" s="349"/>
      <c r="AV229" s="349"/>
      <c r="AW229" s="349"/>
      <c r="AX229" s="349"/>
      <c r="AY229" s="349"/>
      <c r="AZ229" s="349"/>
      <c r="BA229" s="349"/>
      <c r="BB229" s="349"/>
      <c r="BC229" s="349"/>
      <c r="BD229" s="349"/>
      <c r="BE229" s="349"/>
      <c r="BF229" s="349"/>
      <c r="BG229" s="349"/>
      <c r="BH229" s="349"/>
      <c r="BI229" s="349"/>
      <c r="BJ229" s="349"/>
      <c r="BK229" s="349"/>
      <c r="BL229" s="349"/>
      <c r="BM229" s="349"/>
      <c r="BN229" s="349"/>
      <c r="BO229" s="349"/>
      <c r="BP229" s="349"/>
      <c r="BQ229" s="349"/>
      <c r="BR229" s="349"/>
      <c r="BS229" s="349"/>
    </row>
    <row r="230" spans="1:71" x14ac:dyDescent="0.3">
      <c r="A230" s="349"/>
      <c r="B230" s="349"/>
      <c r="C230" s="349"/>
      <c r="D230" s="349"/>
      <c r="E230" s="349"/>
      <c r="F230" s="349"/>
      <c r="G230" s="349"/>
      <c r="H230" s="349"/>
      <c r="I230" s="349"/>
      <c r="J230" s="349"/>
      <c r="K230" s="349"/>
      <c r="L230" s="349"/>
      <c r="M230" s="349"/>
      <c r="N230" s="349"/>
      <c r="O230" s="349"/>
      <c r="P230" s="349"/>
      <c r="Q230" s="349"/>
      <c r="R230" s="349"/>
      <c r="S230" s="349"/>
      <c r="T230" s="349"/>
      <c r="U230" s="349"/>
      <c r="V230" s="349"/>
      <c r="W230" s="349"/>
      <c r="X230" s="349"/>
      <c r="Y230" s="349"/>
      <c r="Z230" s="349"/>
      <c r="AA230" s="349"/>
      <c r="AB230" s="349"/>
      <c r="AC230" s="349"/>
      <c r="AD230" s="349"/>
      <c r="AE230" s="349"/>
      <c r="AF230" s="349"/>
      <c r="AG230" s="349"/>
      <c r="AH230" s="349"/>
      <c r="AI230" s="349"/>
      <c r="AJ230" s="349"/>
      <c r="AK230" s="349"/>
      <c r="AL230" s="349"/>
      <c r="AM230" s="349"/>
      <c r="AN230" s="349"/>
      <c r="AO230" s="349"/>
      <c r="AP230" s="349"/>
      <c r="AQ230" s="349"/>
      <c r="AR230" s="349"/>
      <c r="AS230" s="349"/>
      <c r="AT230" s="349"/>
      <c r="AU230" s="349"/>
      <c r="AV230" s="349"/>
      <c r="AW230" s="349"/>
      <c r="AX230" s="349"/>
      <c r="AY230" s="349"/>
      <c r="AZ230" s="349"/>
      <c r="BA230" s="349"/>
      <c r="BB230" s="349"/>
      <c r="BC230" s="349"/>
      <c r="BD230" s="349"/>
      <c r="BE230" s="349"/>
      <c r="BF230" s="349"/>
      <c r="BG230" s="349"/>
      <c r="BH230" s="349"/>
      <c r="BI230" s="349"/>
      <c r="BJ230" s="349"/>
      <c r="BK230" s="349"/>
      <c r="BL230" s="349"/>
      <c r="BM230" s="349"/>
      <c r="BN230" s="349"/>
      <c r="BO230" s="349"/>
      <c r="BP230" s="349"/>
      <c r="BQ230" s="349"/>
      <c r="BR230" s="349"/>
      <c r="BS230" s="349"/>
    </row>
    <row r="231" spans="1:71" x14ac:dyDescent="0.3">
      <c r="A231" s="349"/>
      <c r="B231" s="349"/>
      <c r="C231" s="349"/>
      <c r="D231" s="349"/>
      <c r="E231" s="349"/>
      <c r="F231" s="349"/>
      <c r="G231" s="349"/>
      <c r="H231" s="349"/>
      <c r="I231" s="349"/>
      <c r="J231" s="349"/>
      <c r="K231" s="349"/>
      <c r="L231" s="349"/>
      <c r="M231" s="349"/>
      <c r="N231" s="349"/>
      <c r="O231" s="349"/>
      <c r="P231" s="349"/>
      <c r="Q231" s="349"/>
      <c r="R231" s="349"/>
      <c r="S231" s="349"/>
      <c r="T231" s="349"/>
      <c r="U231" s="349"/>
      <c r="V231" s="349"/>
      <c r="W231" s="349"/>
      <c r="X231" s="349"/>
      <c r="Y231" s="349"/>
      <c r="Z231" s="349"/>
      <c r="AA231" s="349"/>
      <c r="AB231" s="349"/>
      <c r="AC231" s="349"/>
      <c r="AD231" s="349"/>
      <c r="AE231" s="349"/>
      <c r="AF231" s="349"/>
      <c r="AG231" s="349"/>
      <c r="AH231" s="349"/>
      <c r="AI231" s="349"/>
      <c r="AJ231" s="349"/>
      <c r="AK231" s="349"/>
      <c r="AL231" s="349"/>
      <c r="AM231" s="349"/>
      <c r="AN231" s="349"/>
      <c r="AO231" s="349"/>
      <c r="AP231" s="349"/>
      <c r="AQ231" s="349"/>
      <c r="AR231" s="349"/>
      <c r="AS231" s="349"/>
      <c r="AT231" s="349"/>
      <c r="AU231" s="349"/>
      <c r="AV231" s="349"/>
      <c r="AW231" s="349"/>
      <c r="AX231" s="349"/>
      <c r="AY231" s="349"/>
      <c r="AZ231" s="349"/>
      <c r="BA231" s="349"/>
      <c r="BB231" s="349"/>
      <c r="BC231" s="349"/>
      <c r="BD231" s="349"/>
      <c r="BE231" s="349"/>
      <c r="BF231" s="349"/>
      <c r="BG231" s="349"/>
      <c r="BH231" s="349"/>
      <c r="BI231" s="349"/>
      <c r="BJ231" s="349"/>
      <c r="BK231" s="349"/>
      <c r="BL231" s="349"/>
      <c r="BM231" s="349"/>
      <c r="BN231" s="349"/>
      <c r="BO231" s="349"/>
      <c r="BP231" s="349"/>
      <c r="BQ231" s="349"/>
      <c r="BR231" s="349"/>
      <c r="BS231" s="349"/>
    </row>
    <row r="232" spans="1:71" x14ac:dyDescent="0.3">
      <c r="A232" s="349"/>
      <c r="B232" s="349"/>
      <c r="C232" s="349"/>
      <c r="D232" s="349"/>
      <c r="E232" s="349"/>
      <c r="F232" s="349"/>
      <c r="G232" s="349"/>
      <c r="H232" s="349"/>
      <c r="I232" s="349"/>
      <c r="J232" s="349"/>
      <c r="K232" s="349"/>
      <c r="L232" s="349"/>
      <c r="M232" s="349"/>
      <c r="N232" s="349"/>
      <c r="O232" s="349"/>
      <c r="P232" s="349"/>
      <c r="Q232" s="349"/>
      <c r="R232" s="349"/>
      <c r="S232" s="349"/>
      <c r="T232" s="349"/>
      <c r="U232" s="349"/>
      <c r="V232" s="349"/>
      <c r="W232" s="349"/>
      <c r="X232" s="349"/>
      <c r="Y232" s="349"/>
      <c r="Z232" s="349"/>
      <c r="AA232" s="349"/>
      <c r="AB232" s="349"/>
      <c r="AC232" s="349"/>
      <c r="AD232" s="349"/>
      <c r="AE232" s="349"/>
      <c r="AF232" s="349"/>
      <c r="AG232" s="349"/>
      <c r="AH232" s="349"/>
      <c r="AI232" s="349"/>
      <c r="AJ232" s="349"/>
      <c r="AK232" s="349"/>
      <c r="AL232" s="349"/>
      <c r="AM232" s="349"/>
      <c r="AN232" s="349"/>
      <c r="AO232" s="349"/>
      <c r="AP232" s="349"/>
      <c r="AQ232" s="349"/>
      <c r="AR232" s="349"/>
      <c r="AS232" s="349"/>
      <c r="AT232" s="349"/>
      <c r="AU232" s="349"/>
      <c r="AV232" s="349"/>
      <c r="AW232" s="349"/>
      <c r="AX232" s="349"/>
      <c r="AY232" s="349"/>
      <c r="AZ232" s="349"/>
      <c r="BA232" s="349"/>
      <c r="BB232" s="349"/>
      <c r="BC232" s="349"/>
      <c r="BD232" s="349"/>
      <c r="BE232" s="349"/>
      <c r="BF232" s="349"/>
      <c r="BG232" s="349"/>
      <c r="BH232" s="349"/>
      <c r="BI232" s="349"/>
      <c r="BJ232" s="349"/>
      <c r="BK232" s="349"/>
      <c r="BL232" s="349"/>
      <c r="BM232" s="349"/>
      <c r="BN232" s="349"/>
      <c r="BO232" s="349"/>
      <c r="BP232" s="349"/>
      <c r="BQ232" s="349"/>
      <c r="BR232" s="349"/>
      <c r="BS232" s="349"/>
    </row>
    <row r="233" spans="1:71" x14ac:dyDescent="0.3">
      <c r="A233" s="349"/>
      <c r="B233" s="349"/>
      <c r="C233" s="349"/>
      <c r="D233" s="349"/>
      <c r="E233" s="349"/>
      <c r="F233" s="349"/>
      <c r="G233" s="349"/>
      <c r="H233" s="349"/>
      <c r="I233" s="349"/>
      <c r="J233" s="349"/>
      <c r="K233" s="349"/>
      <c r="L233" s="349"/>
      <c r="M233" s="349"/>
      <c r="N233" s="349"/>
      <c r="O233" s="349"/>
      <c r="P233" s="349"/>
      <c r="Q233" s="349"/>
      <c r="R233" s="349"/>
      <c r="S233" s="349"/>
      <c r="T233" s="349"/>
      <c r="U233" s="349"/>
      <c r="V233" s="349"/>
      <c r="W233" s="349"/>
      <c r="X233" s="349"/>
      <c r="Y233" s="349"/>
      <c r="Z233" s="349"/>
      <c r="AA233" s="349"/>
      <c r="AB233" s="349"/>
      <c r="AC233" s="349"/>
      <c r="AD233" s="349"/>
      <c r="AE233" s="349"/>
      <c r="AF233" s="349"/>
      <c r="AG233" s="349"/>
      <c r="AH233" s="349"/>
      <c r="AI233" s="349"/>
      <c r="AJ233" s="349"/>
      <c r="AK233" s="349"/>
      <c r="AL233" s="349"/>
      <c r="AM233" s="349"/>
      <c r="AN233" s="349"/>
      <c r="AO233" s="349"/>
      <c r="AP233" s="349"/>
      <c r="AQ233" s="349"/>
      <c r="AR233" s="349"/>
      <c r="AS233" s="349"/>
      <c r="AT233" s="349"/>
      <c r="AU233" s="349"/>
      <c r="AV233" s="349"/>
      <c r="AW233" s="349"/>
      <c r="AX233" s="349"/>
      <c r="AY233" s="349"/>
      <c r="AZ233" s="349"/>
      <c r="BA233" s="349"/>
      <c r="BB233" s="349"/>
      <c r="BC233" s="349"/>
      <c r="BD233" s="349"/>
      <c r="BE233" s="349"/>
      <c r="BF233" s="349"/>
      <c r="BG233" s="349"/>
      <c r="BH233" s="349"/>
      <c r="BI233" s="349"/>
      <c r="BJ233" s="349"/>
      <c r="BK233" s="349"/>
      <c r="BL233" s="349"/>
      <c r="BM233" s="349"/>
      <c r="BN233" s="349"/>
      <c r="BO233" s="349"/>
      <c r="BP233" s="349"/>
      <c r="BQ233" s="349"/>
      <c r="BR233" s="349"/>
      <c r="BS233" s="349"/>
    </row>
    <row r="234" spans="1:71" x14ac:dyDescent="0.3">
      <c r="A234" s="349"/>
      <c r="B234" s="349"/>
      <c r="C234" s="349"/>
      <c r="D234" s="349"/>
      <c r="E234" s="349"/>
      <c r="F234" s="349"/>
      <c r="G234" s="349"/>
      <c r="H234" s="349"/>
      <c r="I234" s="349"/>
      <c r="J234" s="349"/>
      <c r="K234" s="349"/>
      <c r="L234" s="349"/>
      <c r="M234" s="349"/>
      <c r="N234" s="349"/>
      <c r="O234" s="349"/>
      <c r="P234" s="349"/>
      <c r="Q234" s="349"/>
      <c r="R234" s="349"/>
      <c r="S234" s="349"/>
      <c r="T234" s="349"/>
      <c r="U234" s="349"/>
      <c r="V234" s="349"/>
      <c r="W234" s="349"/>
      <c r="X234" s="349"/>
      <c r="Y234" s="349"/>
      <c r="Z234" s="349"/>
      <c r="AA234" s="349"/>
      <c r="AB234" s="349"/>
      <c r="AC234" s="349"/>
      <c r="AD234" s="349"/>
      <c r="AE234" s="349"/>
      <c r="AF234" s="349"/>
      <c r="AG234" s="349"/>
      <c r="AH234" s="349"/>
      <c r="AI234" s="349"/>
      <c r="AJ234" s="349"/>
      <c r="AK234" s="349"/>
      <c r="AL234" s="349"/>
      <c r="AM234" s="349"/>
      <c r="AN234" s="349"/>
      <c r="AO234" s="349"/>
      <c r="AP234" s="349"/>
      <c r="AQ234" s="349"/>
      <c r="AR234" s="349"/>
      <c r="AS234" s="349"/>
      <c r="AT234" s="349"/>
      <c r="AU234" s="349"/>
      <c r="AV234" s="349"/>
      <c r="AW234" s="349"/>
      <c r="AX234" s="349"/>
      <c r="AY234" s="349"/>
      <c r="AZ234" s="349"/>
      <c r="BA234" s="349"/>
      <c r="BB234" s="349"/>
      <c r="BC234" s="349"/>
      <c r="BD234" s="349"/>
      <c r="BE234" s="349"/>
      <c r="BF234" s="349"/>
      <c r="BG234" s="349"/>
      <c r="BH234" s="349"/>
      <c r="BI234" s="349"/>
      <c r="BJ234" s="349"/>
      <c r="BK234" s="349"/>
      <c r="BL234" s="349"/>
      <c r="BM234" s="349"/>
      <c r="BN234" s="349"/>
      <c r="BO234" s="349"/>
      <c r="BP234" s="349"/>
      <c r="BQ234" s="349"/>
      <c r="BR234" s="349"/>
      <c r="BS234" s="349"/>
    </row>
    <row r="235" spans="1:71" x14ac:dyDescent="0.3">
      <c r="A235" s="349"/>
      <c r="B235" s="349"/>
      <c r="C235" s="349"/>
      <c r="D235" s="349"/>
      <c r="E235" s="349"/>
      <c r="F235" s="349"/>
      <c r="G235" s="349"/>
      <c r="H235" s="349"/>
      <c r="I235" s="349"/>
      <c r="J235" s="349"/>
      <c r="K235" s="349"/>
      <c r="L235" s="349"/>
      <c r="M235" s="349"/>
      <c r="N235" s="349"/>
      <c r="O235" s="349"/>
      <c r="P235" s="349"/>
      <c r="Q235" s="349"/>
      <c r="R235" s="349"/>
      <c r="S235" s="349"/>
      <c r="T235" s="349"/>
      <c r="U235" s="349"/>
      <c r="V235" s="349"/>
      <c r="W235" s="349"/>
      <c r="X235" s="349"/>
      <c r="Y235" s="349"/>
      <c r="Z235" s="349"/>
      <c r="AA235" s="349"/>
      <c r="AB235" s="349"/>
      <c r="AC235" s="349"/>
      <c r="AD235" s="349"/>
      <c r="AE235" s="349"/>
      <c r="AF235" s="349"/>
      <c r="AG235" s="349"/>
      <c r="AH235" s="349"/>
      <c r="AI235" s="349"/>
      <c r="AJ235" s="349"/>
      <c r="AK235" s="349"/>
      <c r="AL235" s="349"/>
      <c r="AM235" s="349"/>
      <c r="AN235" s="349"/>
      <c r="AO235" s="349"/>
      <c r="AP235" s="349"/>
      <c r="AQ235" s="349"/>
      <c r="AR235" s="349"/>
      <c r="AS235" s="349"/>
      <c r="AT235" s="349"/>
      <c r="AU235" s="349"/>
      <c r="AV235" s="349"/>
      <c r="AW235" s="349"/>
      <c r="AX235" s="349"/>
      <c r="AY235" s="349"/>
      <c r="AZ235" s="349"/>
      <c r="BA235" s="349"/>
      <c r="BB235" s="349"/>
      <c r="BC235" s="349"/>
      <c r="BD235" s="349"/>
      <c r="BE235" s="349"/>
      <c r="BF235" s="349"/>
      <c r="BG235" s="349"/>
      <c r="BH235" s="349"/>
      <c r="BI235" s="349"/>
      <c r="BJ235" s="349"/>
      <c r="BK235" s="349"/>
      <c r="BL235" s="349"/>
      <c r="BM235" s="349"/>
      <c r="BN235" s="349"/>
      <c r="BO235" s="349"/>
      <c r="BP235" s="349"/>
      <c r="BQ235" s="349"/>
      <c r="BR235" s="349"/>
      <c r="BS235" s="349"/>
    </row>
    <row r="236" spans="1:71" x14ac:dyDescent="0.3">
      <c r="A236" s="349"/>
      <c r="B236" s="349"/>
      <c r="C236" s="349"/>
      <c r="D236" s="349"/>
      <c r="E236" s="349"/>
      <c r="F236" s="349"/>
      <c r="G236" s="349"/>
      <c r="H236" s="349"/>
      <c r="I236" s="349"/>
      <c r="J236" s="349"/>
      <c r="K236" s="349"/>
      <c r="L236" s="349"/>
      <c r="M236" s="349"/>
      <c r="N236" s="349"/>
      <c r="O236" s="349"/>
      <c r="P236" s="349"/>
      <c r="Q236" s="349"/>
      <c r="R236" s="349"/>
      <c r="S236" s="349"/>
      <c r="T236" s="349"/>
      <c r="U236" s="349"/>
      <c r="V236" s="349"/>
      <c r="W236" s="349"/>
      <c r="X236" s="349"/>
      <c r="Y236" s="349"/>
      <c r="Z236" s="349"/>
      <c r="AA236" s="349"/>
      <c r="AB236" s="349"/>
      <c r="AC236" s="349"/>
      <c r="AD236" s="349"/>
      <c r="AE236" s="349"/>
      <c r="AF236" s="349"/>
      <c r="AG236" s="349"/>
      <c r="AH236" s="349"/>
      <c r="AI236" s="349"/>
      <c r="AJ236" s="349"/>
      <c r="AK236" s="349"/>
      <c r="AL236" s="349"/>
      <c r="AM236" s="349"/>
      <c r="AN236" s="349"/>
      <c r="AO236" s="349"/>
      <c r="AP236" s="349"/>
      <c r="AQ236" s="349"/>
      <c r="AR236" s="349"/>
      <c r="AS236" s="349"/>
      <c r="AT236" s="349"/>
      <c r="AU236" s="349"/>
      <c r="AV236" s="349"/>
      <c r="AW236" s="349"/>
      <c r="AX236" s="349"/>
      <c r="AY236" s="349"/>
      <c r="AZ236" s="349"/>
      <c r="BA236" s="349"/>
      <c r="BB236" s="349"/>
      <c r="BC236" s="349"/>
      <c r="BD236" s="349"/>
      <c r="BE236" s="349"/>
      <c r="BF236" s="349"/>
      <c r="BG236" s="349"/>
      <c r="BH236" s="349"/>
      <c r="BI236" s="349"/>
      <c r="BJ236" s="349"/>
      <c r="BK236" s="349"/>
      <c r="BL236" s="349"/>
      <c r="BM236" s="349"/>
      <c r="BN236" s="349"/>
      <c r="BO236" s="349"/>
      <c r="BP236" s="349"/>
      <c r="BQ236" s="349"/>
      <c r="BR236" s="349"/>
      <c r="BS236" s="349"/>
    </row>
    <row r="237" spans="1:71" x14ac:dyDescent="0.3">
      <c r="A237" s="349"/>
      <c r="B237" s="349"/>
      <c r="C237" s="349"/>
      <c r="D237" s="349"/>
      <c r="E237" s="349"/>
      <c r="F237" s="349"/>
      <c r="G237" s="349"/>
      <c r="H237" s="349"/>
      <c r="I237" s="349"/>
      <c r="J237" s="349"/>
      <c r="K237" s="349"/>
      <c r="L237" s="349"/>
      <c r="M237" s="349"/>
      <c r="N237" s="349"/>
      <c r="O237" s="349"/>
      <c r="P237" s="349"/>
      <c r="Q237" s="349"/>
      <c r="R237" s="349"/>
      <c r="S237" s="349"/>
      <c r="T237" s="349"/>
      <c r="U237" s="349"/>
      <c r="V237" s="349"/>
      <c r="W237" s="349"/>
      <c r="X237" s="349"/>
      <c r="Y237" s="349"/>
      <c r="Z237" s="349"/>
      <c r="AA237" s="349"/>
      <c r="AB237" s="349"/>
      <c r="AC237" s="349"/>
      <c r="AD237" s="349"/>
      <c r="AE237" s="349"/>
      <c r="AF237" s="349"/>
      <c r="AG237" s="349"/>
      <c r="AH237" s="349"/>
      <c r="AI237" s="349"/>
      <c r="AJ237" s="349"/>
      <c r="AK237" s="349"/>
      <c r="AL237" s="349"/>
      <c r="AM237" s="349"/>
      <c r="AN237" s="349"/>
      <c r="AO237" s="349"/>
      <c r="AP237" s="349"/>
      <c r="AQ237" s="349"/>
      <c r="AR237" s="349"/>
      <c r="AS237" s="349"/>
      <c r="AT237" s="349"/>
      <c r="AU237" s="349"/>
      <c r="AV237" s="349"/>
      <c r="AW237" s="349"/>
      <c r="AX237" s="349"/>
      <c r="AY237" s="349"/>
      <c r="AZ237" s="349"/>
      <c r="BA237" s="349"/>
      <c r="BB237" s="349"/>
      <c r="BC237" s="349"/>
      <c r="BD237" s="349"/>
      <c r="BE237" s="349"/>
      <c r="BF237" s="349"/>
      <c r="BG237" s="349"/>
      <c r="BH237" s="349"/>
      <c r="BI237" s="349"/>
      <c r="BJ237" s="349"/>
      <c r="BK237" s="349"/>
      <c r="BL237" s="349"/>
      <c r="BM237" s="349"/>
      <c r="BN237" s="349"/>
      <c r="BO237" s="349"/>
      <c r="BP237" s="349"/>
      <c r="BQ237" s="349"/>
      <c r="BR237" s="349"/>
      <c r="BS237" s="349"/>
    </row>
    <row r="238" spans="1:71" x14ac:dyDescent="0.3">
      <c r="A238" s="349"/>
      <c r="B238" s="349"/>
      <c r="C238" s="349"/>
      <c r="D238" s="349"/>
      <c r="E238" s="349"/>
      <c r="F238" s="349"/>
      <c r="G238" s="349"/>
      <c r="H238" s="349"/>
      <c r="I238" s="349"/>
      <c r="J238" s="349"/>
      <c r="K238" s="349"/>
      <c r="L238" s="349"/>
      <c r="M238" s="349"/>
      <c r="N238" s="349"/>
      <c r="O238" s="349"/>
      <c r="P238" s="349"/>
      <c r="Q238" s="349"/>
      <c r="R238" s="349"/>
      <c r="S238" s="349"/>
      <c r="T238" s="349"/>
      <c r="U238" s="349"/>
      <c r="V238" s="349"/>
      <c r="W238" s="349"/>
      <c r="X238" s="349"/>
      <c r="Y238" s="349"/>
      <c r="Z238" s="349"/>
      <c r="AA238" s="349"/>
      <c r="AB238" s="349"/>
      <c r="AC238" s="349"/>
      <c r="AD238" s="349"/>
      <c r="AE238" s="349"/>
      <c r="AF238" s="349"/>
      <c r="AG238" s="349"/>
      <c r="AH238" s="349"/>
      <c r="AI238" s="349"/>
      <c r="AJ238" s="349"/>
      <c r="AK238" s="349"/>
      <c r="AL238" s="349"/>
      <c r="AM238" s="349"/>
      <c r="AN238" s="349"/>
      <c r="AO238" s="349"/>
      <c r="AP238" s="349"/>
      <c r="AQ238" s="349"/>
      <c r="AR238" s="349"/>
      <c r="AS238" s="349"/>
      <c r="AT238" s="349"/>
      <c r="AU238" s="349"/>
      <c r="AV238" s="349"/>
      <c r="AW238" s="349"/>
      <c r="AX238" s="349"/>
      <c r="AY238" s="349"/>
      <c r="AZ238" s="349"/>
      <c r="BA238" s="349"/>
      <c r="BB238" s="349"/>
      <c r="BC238" s="349"/>
      <c r="BD238" s="349"/>
      <c r="BE238" s="349"/>
      <c r="BF238" s="349"/>
      <c r="BG238" s="349"/>
      <c r="BH238" s="349"/>
      <c r="BI238" s="349"/>
      <c r="BJ238" s="349"/>
      <c r="BK238" s="349"/>
      <c r="BL238" s="349"/>
      <c r="BM238" s="349"/>
      <c r="BN238" s="349"/>
      <c r="BO238" s="349"/>
      <c r="BP238" s="349"/>
      <c r="BQ238" s="349"/>
      <c r="BR238" s="349"/>
      <c r="BS238" s="349"/>
    </row>
    <row r="239" spans="1:71" x14ac:dyDescent="0.3">
      <c r="A239" s="349"/>
      <c r="B239" s="349"/>
      <c r="C239" s="349"/>
      <c r="D239" s="349"/>
      <c r="E239" s="349"/>
      <c r="F239" s="349"/>
      <c r="G239" s="349"/>
      <c r="H239" s="349"/>
      <c r="I239" s="349"/>
      <c r="J239" s="349"/>
      <c r="K239" s="349"/>
      <c r="L239" s="349"/>
      <c r="M239" s="349"/>
      <c r="N239" s="349"/>
      <c r="O239" s="349"/>
      <c r="P239" s="349"/>
      <c r="Q239" s="349"/>
      <c r="R239" s="349"/>
      <c r="S239" s="349"/>
      <c r="T239" s="349"/>
      <c r="U239" s="349"/>
      <c r="V239" s="349"/>
      <c r="W239" s="349"/>
      <c r="X239" s="349"/>
      <c r="Y239" s="349"/>
      <c r="Z239" s="349"/>
      <c r="AA239" s="349"/>
      <c r="AB239" s="349"/>
      <c r="AC239" s="349"/>
      <c r="AD239" s="349"/>
      <c r="AE239" s="349"/>
      <c r="AF239" s="349"/>
      <c r="AG239" s="349"/>
      <c r="AH239" s="349"/>
      <c r="AI239" s="349"/>
      <c r="AJ239" s="349"/>
      <c r="AK239" s="349"/>
      <c r="AL239" s="349"/>
      <c r="AM239" s="349"/>
      <c r="AN239" s="349"/>
      <c r="AO239" s="349"/>
      <c r="AP239" s="349"/>
      <c r="AQ239" s="349"/>
      <c r="AR239" s="349"/>
      <c r="AS239" s="349"/>
      <c r="AT239" s="349"/>
      <c r="AU239" s="349"/>
      <c r="AV239" s="349"/>
      <c r="AW239" s="349"/>
      <c r="AX239" s="349"/>
      <c r="AY239" s="349"/>
      <c r="AZ239" s="349"/>
      <c r="BA239" s="349"/>
      <c r="BB239" s="349"/>
      <c r="BC239" s="349"/>
      <c r="BD239" s="349"/>
      <c r="BE239" s="349"/>
      <c r="BF239" s="349"/>
      <c r="BG239" s="349"/>
      <c r="BH239" s="349"/>
      <c r="BI239" s="349"/>
      <c r="BJ239" s="349"/>
      <c r="BK239" s="349"/>
      <c r="BL239" s="349"/>
      <c r="BM239" s="349"/>
      <c r="BN239" s="349"/>
      <c r="BO239" s="349"/>
      <c r="BP239" s="349"/>
      <c r="BQ239" s="349"/>
      <c r="BR239" s="349"/>
      <c r="BS239" s="349"/>
    </row>
    <row r="240" spans="1:71" x14ac:dyDescent="0.3">
      <c r="A240" s="349"/>
      <c r="B240" s="349"/>
      <c r="C240" s="349"/>
      <c r="D240" s="349"/>
      <c r="E240" s="349"/>
      <c r="F240" s="349"/>
      <c r="G240" s="349"/>
      <c r="H240" s="349"/>
      <c r="I240" s="349"/>
      <c r="J240" s="349"/>
      <c r="K240" s="349"/>
      <c r="L240" s="349"/>
      <c r="M240" s="349"/>
      <c r="N240" s="349"/>
      <c r="O240" s="349"/>
      <c r="P240" s="349"/>
      <c r="Q240" s="349"/>
      <c r="R240" s="349"/>
      <c r="S240" s="349"/>
      <c r="T240" s="349"/>
      <c r="U240" s="349"/>
      <c r="V240" s="349"/>
      <c r="W240" s="349"/>
      <c r="X240" s="349"/>
      <c r="Y240" s="349"/>
      <c r="Z240" s="349"/>
      <c r="AA240" s="349"/>
      <c r="AB240" s="349"/>
      <c r="AC240" s="349"/>
      <c r="AD240" s="349"/>
      <c r="AE240" s="349"/>
      <c r="AF240" s="349"/>
      <c r="AG240" s="349"/>
      <c r="AH240" s="349"/>
      <c r="AI240" s="349"/>
      <c r="AJ240" s="349"/>
      <c r="AK240" s="349"/>
      <c r="AL240" s="349"/>
      <c r="AM240" s="349"/>
      <c r="AN240" s="349"/>
      <c r="AO240" s="349"/>
      <c r="AP240" s="349"/>
      <c r="AQ240" s="349"/>
      <c r="AR240" s="349"/>
      <c r="AS240" s="349"/>
      <c r="AT240" s="349"/>
      <c r="AU240" s="349"/>
      <c r="AV240" s="349"/>
      <c r="AW240" s="349"/>
      <c r="AX240" s="349"/>
      <c r="AY240" s="349"/>
      <c r="AZ240" s="349"/>
      <c r="BA240" s="349"/>
      <c r="BB240" s="349"/>
      <c r="BC240" s="349"/>
      <c r="BD240" s="349"/>
      <c r="BE240" s="349"/>
      <c r="BF240" s="349"/>
      <c r="BG240" s="349"/>
      <c r="BH240" s="349"/>
      <c r="BI240" s="349"/>
      <c r="BJ240" s="349"/>
      <c r="BK240" s="349"/>
      <c r="BL240" s="349"/>
      <c r="BM240" s="349"/>
      <c r="BN240" s="349"/>
      <c r="BO240" s="349"/>
      <c r="BP240" s="349"/>
      <c r="BQ240" s="349"/>
      <c r="BR240" s="349"/>
      <c r="BS240" s="349"/>
    </row>
    <row r="241" spans="1:71" x14ac:dyDescent="0.3">
      <c r="A241" s="349"/>
      <c r="B241" s="349"/>
      <c r="C241" s="349"/>
      <c r="D241" s="349"/>
      <c r="E241" s="349"/>
      <c r="F241" s="349"/>
      <c r="G241" s="349"/>
      <c r="H241" s="349"/>
      <c r="I241" s="349"/>
      <c r="J241" s="349"/>
      <c r="K241" s="349"/>
      <c r="L241" s="349"/>
      <c r="M241" s="349"/>
      <c r="N241" s="349"/>
      <c r="O241" s="349"/>
      <c r="P241" s="349"/>
      <c r="Q241" s="349"/>
      <c r="R241" s="349"/>
      <c r="S241" s="349"/>
      <c r="T241" s="349"/>
      <c r="U241" s="349"/>
      <c r="V241" s="349"/>
      <c r="W241" s="349"/>
      <c r="X241" s="349"/>
      <c r="Y241" s="349"/>
      <c r="Z241" s="349"/>
      <c r="AA241" s="349"/>
      <c r="AB241" s="349"/>
      <c r="AC241" s="349"/>
      <c r="AD241" s="349"/>
      <c r="AE241" s="349"/>
      <c r="AF241" s="349"/>
      <c r="AG241" s="349"/>
      <c r="AH241" s="349"/>
      <c r="AI241" s="349"/>
      <c r="AJ241" s="349"/>
      <c r="AK241" s="349"/>
      <c r="AL241" s="349"/>
      <c r="AM241" s="349"/>
      <c r="AN241" s="349"/>
      <c r="AO241" s="349"/>
      <c r="AP241" s="349"/>
      <c r="AQ241" s="349"/>
      <c r="AR241" s="349"/>
      <c r="AS241" s="349"/>
      <c r="AT241" s="349"/>
      <c r="AU241" s="349"/>
      <c r="AV241" s="349"/>
      <c r="AW241" s="349"/>
      <c r="AX241" s="349"/>
      <c r="AY241" s="349"/>
      <c r="AZ241" s="349"/>
      <c r="BA241" s="349"/>
      <c r="BB241" s="349"/>
      <c r="BC241" s="349"/>
      <c r="BD241" s="349"/>
      <c r="BE241" s="349"/>
      <c r="BF241" s="349"/>
      <c r="BG241" s="349"/>
      <c r="BH241" s="349"/>
      <c r="BI241" s="349"/>
      <c r="BJ241" s="349"/>
      <c r="BK241" s="349"/>
      <c r="BL241" s="349"/>
      <c r="BM241" s="349"/>
      <c r="BN241" s="349"/>
      <c r="BO241" s="349"/>
      <c r="BP241" s="349"/>
      <c r="BQ241" s="349"/>
      <c r="BR241" s="349"/>
      <c r="BS241" s="349"/>
    </row>
    <row r="242" spans="1:71" x14ac:dyDescent="0.3">
      <c r="A242" s="349"/>
      <c r="B242" s="349"/>
      <c r="C242" s="349"/>
      <c r="D242" s="349"/>
      <c r="E242" s="349"/>
      <c r="F242" s="349"/>
      <c r="G242" s="349"/>
      <c r="H242" s="349"/>
      <c r="I242" s="349"/>
      <c r="J242" s="349"/>
      <c r="K242" s="349"/>
      <c r="L242" s="349"/>
      <c r="M242" s="349"/>
      <c r="N242" s="349"/>
      <c r="O242" s="349"/>
      <c r="P242" s="349"/>
      <c r="Q242" s="349"/>
      <c r="R242" s="349"/>
      <c r="S242" s="349"/>
      <c r="T242" s="349"/>
      <c r="U242" s="349"/>
      <c r="V242" s="349"/>
      <c r="W242" s="349"/>
      <c r="X242" s="349"/>
      <c r="Y242" s="349"/>
      <c r="Z242" s="349"/>
      <c r="AA242" s="349"/>
      <c r="AB242" s="349"/>
      <c r="AC242" s="349"/>
      <c r="AD242" s="349"/>
      <c r="AE242" s="349"/>
      <c r="AF242" s="349"/>
      <c r="AG242" s="349"/>
      <c r="AH242" s="349"/>
      <c r="AI242" s="349"/>
      <c r="AJ242" s="349"/>
      <c r="AK242" s="349"/>
      <c r="AL242" s="349"/>
      <c r="AM242" s="349"/>
      <c r="AN242" s="349"/>
      <c r="AO242" s="349"/>
      <c r="AP242" s="349"/>
      <c r="AQ242" s="349"/>
      <c r="AR242" s="349"/>
      <c r="AS242" s="349"/>
      <c r="AT242" s="349"/>
      <c r="AU242" s="349"/>
      <c r="AV242" s="349"/>
      <c r="AW242" s="349"/>
      <c r="AX242" s="349"/>
      <c r="AY242" s="349"/>
      <c r="AZ242" s="349"/>
      <c r="BA242" s="349"/>
      <c r="BB242" s="349"/>
      <c r="BC242" s="349"/>
      <c r="BD242" s="349"/>
      <c r="BE242" s="349"/>
      <c r="BF242" s="349"/>
      <c r="BG242" s="349"/>
      <c r="BH242" s="349"/>
      <c r="BI242" s="349"/>
      <c r="BJ242" s="349"/>
      <c r="BK242" s="349"/>
      <c r="BL242" s="349"/>
      <c r="BM242" s="349"/>
      <c r="BN242" s="349"/>
      <c r="BO242" s="349"/>
      <c r="BP242" s="349"/>
      <c r="BQ242" s="349"/>
      <c r="BR242" s="349"/>
      <c r="BS242" s="349"/>
    </row>
    <row r="243" spans="1:71" x14ac:dyDescent="0.3">
      <c r="A243" s="349"/>
      <c r="B243" s="349"/>
      <c r="C243" s="349"/>
      <c r="D243" s="349"/>
      <c r="E243" s="349"/>
      <c r="F243" s="349"/>
      <c r="G243" s="349"/>
      <c r="H243" s="349"/>
      <c r="I243" s="349"/>
      <c r="J243" s="349"/>
      <c r="K243" s="349"/>
      <c r="L243" s="349"/>
      <c r="M243" s="349"/>
      <c r="N243" s="349"/>
      <c r="O243" s="349"/>
      <c r="P243" s="349"/>
      <c r="Q243" s="349"/>
      <c r="R243" s="349"/>
      <c r="S243" s="349"/>
      <c r="T243" s="349"/>
      <c r="U243" s="349"/>
      <c r="V243" s="349"/>
      <c r="W243" s="349"/>
      <c r="X243" s="349"/>
      <c r="Y243" s="349"/>
      <c r="Z243" s="349"/>
      <c r="AA243" s="349"/>
      <c r="AB243" s="349"/>
      <c r="AC243" s="349"/>
      <c r="AD243" s="349"/>
      <c r="AE243" s="349"/>
      <c r="AF243" s="349"/>
      <c r="AG243" s="349"/>
      <c r="AH243" s="349"/>
      <c r="AI243" s="349"/>
      <c r="AJ243" s="349"/>
      <c r="AK243" s="349"/>
      <c r="AL243" s="349"/>
      <c r="AM243" s="349"/>
      <c r="AN243" s="349"/>
      <c r="AO243" s="349"/>
      <c r="AP243" s="349"/>
      <c r="AQ243" s="349"/>
      <c r="AR243" s="349"/>
      <c r="AS243" s="349"/>
      <c r="AT243" s="349"/>
      <c r="AU243" s="349"/>
      <c r="AV243" s="349"/>
      <c r="AW243" s="349"/>
      <c r="AX243" s="349"/>
      <c r="AY243" s="349"/>
      <c r="AZ243" s="349"/>
      <c r="BA243" s="349"/>
      <c r="BB243" s="349"/>
      <c r="BC243" s="349"/>
      <c r="BD243" s="349"/>
      <c r="BE243" s="349"/>
      <c r="BF243" s="349"/>
      <c r="BG243" s="349"/>
      <c r="BH243" s="349"/>
      <c r="BI243" s="349"/>
      <c r="BJ243" s="349"/>
      <c r="BK243" s="349"/>
      <c r="BL243" s="349"/>
      <c r="BM243" s="349"/>
      <c r="BN243" s="349"/>
      <c r="BO243" s="349"/>
      <c r="BP243" s="349"/>
      <c r="BQ243" s="349"/>
      <c r="BR243" s="349"/>
      <c r="BS243" s="349"/>
    </row>
    <row r="244" spans="1:71" x14ac:dyDescent="0.3">
      <c r="A244" s="349"/>
      <c r="B244" s="349"/>
      <c r="C244" s="349"/>
      <c r="D244" s="349"/>
      <c r="E244" s="349"/>
      <c r="F244" s="349"/>
      <c r="G244" s="349"/>
      <c r="H244" s="349"/>
      <c r="I244" s="349"/>
      <c r="J244" s="349"/>
      <c r="K244" s="349"/>
      <c r="L244" s="349"/>
      <c r="M244" s="349"/>
      <c r="N244" s="349"/>
      <c r="O244" s="349"/>
      <c r="P244" s="349"/>
      <c r="Q244" s="349"/>
      <c r="R244" s="349"/>
      <c r="S244" s="349"/>
      <c r="T244" s="349"/>
      <c r="U244" s="349"/>
      <c r="V244" s="349"/>
      <c r="W244" s="349"/>
      <c r="X244" s="349"/>
      <c r="Y244" s="349"/>
      <c r="Z244" s="349"/>
      <c r="AA244" s="349"/>
      <c r="AB244" s="349"/>
      <c r="AC244" s="349"/>
      <c r="AD244" s="349"/>
      <c r="AE244" s="349"/>
      <c r="AF244" s="349"/>
      <c r="AG244" s="349"/>
      <c r="AH244" s="349"/>
      <c r="AI244" s="349"/>
      <c r="AJ244" s="349"/>
      <c r="AK244" s="349"/>
      <c r="AL244" s="349"/>
      <c r="AM244" s="349"/>
      <c r="AN244" s="349"/>
      <c r="AO244" s="349"/>
      <c r="AP244" s="349"/>
      <c r="AQ244" s="349"/>
      <c r="AR244" s="349"/>
      <c r="AS244" s="349"/>
      <c r="AT244" s="349"/>
      <c r="AU244" s="349"/>
      <c r="AV244" s="349"/>
      <c r="AW244" s="349"/>
      <c r="AX244" s="349"/>
      <c r="AY244" s="349"/>
      <c r="AZ244" s="349"/>
      <c r="BA244" s="349"/>
      <c r="BB244" s="349"/>
      <c r="BC244" s="349"/>
      <c r="BD244" s="349"/>
      <c r="BE244" s="349"/>
      <c r="BF244" s="349"/>
      <c r="BG244" s="349"/>
      <c r="BH244" s="349"/>
      <c r="BI244" s="349"/>
      <c r="BJ244" s="349"/>
      <c r="BK244" s="349"/>
      <c r="BL244" s="349"/>
      <c r="BM244" s="349"/>
      <c r="BN244" s="349"/>
      <c r="BO244" s="349"/>
      <c r="BP244" s="349"/>
      <c r="BQ244" s="349"/>
      <c r="BR244" s="349"/>
      <c r="BS244" s="349"/>
    </row>
    <row r="245" spans="1:71" x14ac:dyDescent="0.3">
      <c r="A245" s="349"/>
      <c r="B245" s="349"/>
      <c r="C245" s="349"/>
      <c r="D245" s="349"/>
      <c r="E245" s="349"/>
      <c r="F245" s="349"/>
      <c r="G245" s="349"/>
      <c r="H245" s="349"/>
      <c r="I245" s="349"/>
      <c r="J245" s="349"/>
      <c r="K245" s="349"/>
      <c r="L245" s="349"/>
      <c r="M245" s="349"/>
      <c r="N245" s="349"/>
      <c r="O245" s="349"/>
      <c r="P245" s="349"/>
      <c r="Q245" s="349"/>
      <c r="R245" s="349"/>
      <c r="S245" s="349"/>
      <c r="T245" s="349"/>
      <c r="U245" s="349"/>
      <c r="V245" s="349"/>
      <c r="W245" s="349"/>
      <c r="X245" s="349"/>
      <c r="Y245" s="349"/>
      <c r="Z245" s="349"/>
      <c r="AA245" s="349"/>
      <c r="AB245" s="349"/>
      <c r="AC245" s="349"/>
      <c r="AD245" s="349"/>
      <c r="AE245" s="349"/>
      <c r="AF245" s="349"/>
      <c r="AG245" s="349"/>
      <c r="AH245" s="349"/>
      <c r="AI245" s="349"/>
      <c r="AJ245" s="349"/>
      <c r="AK245" s="349"/>
      <c r="AL245" s="349"/>
      <c r="AM245" s="349"/>
      <c r="AN245" s="349"/>
      <c r="AO245" s="349"/>
      <c r="AP245" s="349"/>
      <c r="AQ245" s="349"/>
      <c r="AR245" s="349"/>
      <c r="AS245" s="349"/>
      <c r="AT245" s="349"/>
      <c r="AU245" s="349"/>
      <c r="AV245" s="349"/>
      <c r="AW245" s="349"/>
      <c r="AX245" s="349"/>
      <c r="AY245" s="349"/>
      <c r="AZ245" s="349"/>
      <c r="BA245" s="349"/>
      <c r="BB245" s="349"/>
      <c r="BC245" s="349"/>
      <c r="BD245" s="349"/>
      <c r="BE245" s="349"/>
      <c r="BF245" s="349"/>
      <c r="BG245" s="349"/>
      <c r="BH245" s="349"/>
      <c r="BI245" s="349"/>
      <c r="BJ245" s="349"/>
      <c r="BK245" s="349"/>
      <c r="BL245" s="349"/>
      <c r="BM245" s="349"/>
      <c r="BN245" s="349"/>
      <c r="BO245" s="349"/>
      <c r="BP245" s="349"/>
      <c r="BQ245" s="349"/>
      <c r="BR245" s="349"/>
      <c r="BS245" s="349"/>
    </row>
    <row r="246" spans="1:71" x14ac:dyDescent="0.3">
      <c r="A246" s="349"/>
      <c r="B246" s="349"/>
      <c r="C246" s="349"/>
      <c r="D246" s="349"/>
      <c r="E246" s="349"/>
      <c r="F246" s="349"/>
      <c r="G246" s="349"/>
      <c r="H246" s="349"/>
      <c r="I246" s="349"/>
      <c r="J246" s="349"/>
      <c r="K246" s="349"/>
      <c r="L246" s="349"/>
      <c r="M246" s="349"/>
      <c r="N246" s="349"/>
      <c r="O246" s="349"/>
      <c r="P246" s="349"/>
      <c r="Q246" s="349"/>
      <c r="R246" s="349"/>
      <c r="S246" s="349"/>
      <c r="T246" s="349"/>
      <c r="U246" s="349"/>
      <c r="V246" s="349"/>
      <c r="W246" s="349"/>
      <c r="X246" s="349"/>
      <c r="Y246" s="349"/>
      <c r="Z246" s="349"/>
      <c r="AA246" s="349"/>
      <c r="AB246" s="349"/>
      <c r="AC246" s="349"/>
      <c r="AD246" s="349"/>
      <c r="AE246" s="349"/>
      <c r="AF246" s="349"/>
      <c r="AG246" s="349"/>
      <c r="AH246" s="349"/>
      <c r="AI246" s="349"/>
      <c r="AJ246" s="349"/>
      <c r="AK246" s="349"/>
      <c r="AL246" s="349"/>
      <c r="AM246" s="349"/>
      <c r="AN246" s="349"/>
      <c r="AO246" s="349"/>
      <c r="AP246" s="349"/>
      <c r="AQ246" s="349"/>
      <c r="AR246" s="349"/>
      <c r="AS246" s="349"/>
      <c r="AT246" s="349"/>
      <c r="AU246" s="349"/>
      <c r="AV246" s="349"/>
      <c r="AW246" s="349"/>
      <c r="AX246" s="349"/>
      <c r="AY246" s="349"/>
      <c r="AZ246" s="349"/>
      <c r="BA246" s="349"/>
      <c r="BB246" s="349"/>
      <c r="BC246" s="349"/>
      <c r="BD246" s="349"/>
      <c r="BE246" s="349"/>
      <c r="BF246" s="349"/>
      <c r="BG246" s="349"/>
      <c r="BH246" s="349"/>
      <c r="BI246" s="349"/>
      <c r="BJ246" s="349"/>
      <c r="BK246" s="349"/>
      <c r="BL246" s="349"/>
      <c r="BM246" s="349"/>
      <c r="BN246" s="349"/>
      <c r="BO246" s="349"/>
      <c r="BP246" s="349"/>
      <c r="BQ246" s="349"/>
      <c r="BR246" s="349"/>
      <c r="BS246" s="349"/>
    </row>
    <row r="247" spans="1:71" x14ac:dyDescent="0.3">
      <c r="A247" s="349"/>
      <c r="B247" s="349"/>
      <c r="C247" s="349"/>
      <c r="D247" s="349"/>
      <c r="E247" s="349"/>
      <c r="F247" s="349"/>
      <c r="G247" s="349"/>
      <c r="H247" s="349"/>
      <c r="I247" s="349"/>
      <c r="J247" s="349"/>
      <c r="K247" s="349"/>
      <c r="L247" s="349"/>
      <c r="M247" s="349"/>
      <c r="N247" s="349"/>
      <c r="O247" s="349"/>
      <c r="P247" s="349"/>
      <c r="Q247" s="349"/>
      <c r="R247" s="349"/>
      <c r="S247" s="349"/>
      <c r="T247" s="349"/>
      <c r="U247" s="349"/>
      <c r="V247" s="349"/>
      <c r="W247" s="349"/>
      <c r="X247" s="349"/>
      <c r="Y247" s="349"/>
      <c r="Z247" s="349"/>
      <c r="AA247" s="349"/>
      <c r="AB247" s="349"/>
      <c r="AC247" s="349"/>
      <c r="AD247" s="349"/>
      <c r="AE247" s="349"/>
      <c r="AF247" s="349"/>
      <c r="AG247" s="349"/>
      <c r="AH247" s="349"/>
      <c r="AI247" s="349"/>
      <c r="AJ247" s="349"/>
      <c r="AK247" s="349"/>
      <c r="AL247" s="349"/>
      <c r="AM247" s="349"/>
      <c r="AN247" s="349"/>
      <c r="AO247" s="349"/>
      <c r="AP247" s="349"/>
      <c r="AQ247" s="349"/>
      <c r="AR247" s="349"/>
      <c r="AS247" s="349"/>
      <c r="AT247" s="349"/>
      <c r="AU247" s="349"/>
      <c r="AV247" s="349"/>
      <c r="AW247" s="349"/>
      <c r="AX247" s="349"/>
      <c r="AY247" s="349"/>
      <c r="AZ247" s="349"/>
      <c r="BA247" s="349"/>
      <c r="BB247" s="349"/>
      <c r="BC247" s="349"/>
      <c r="BD247" s="349"/>
      <c r="BE247" s="349"/>
      <c r="BF247" s="349"/>
      <c r="BG247" s="349"/>
      <c r="BH247" s="349"/>
      <c r="BI247" s="349"/>
      <c r="BJ247" s="349"/>
      <c r="BK247" s="349"/>
      <c r="BL247" s="349"/>
      <c r="BM247" s="349"/>
      <c r="BN247" s="349"/>
      <c r="BO247" s="349"/>
      <c r="BP247" s="349"/>
      <c r="BQ247" s="349"/>
      <c r="BR247" s="349"/>
      <c r="BS247" s="349"/>
    </row>
    <row r="248" spans="1:71" x14ac:dyDescent="0.3">
      <c r="A248" s="349"/>
      <c r="B248" s="349"/>
      <c r="C248" s="349"/>
      <c r="D248" s="349"/>
      <c r="E248" s="349"/>
      <c r="F248" s="349"/>
      <c r="G248" s="349"/>
      <c r="H248" s="349"/>
      <c r="I248" s="349"/>
      <c r="J248" s="349"/>
      <c r="K248" s="349"/>
      <c r="L248" s="349"/>
      <c r="M248" s="349"/>
      <c r="N248" s="349"/>
      <c r="O248" s="349"/>
      <c r="P248" s="349"/>
      <c r="Q248" s="349"/>
      <c r="R248" s="349"/>
      <c r="S248" s="349"/>
      <c r="T248" s="349"/>
      <c r="U248" s="349"/>
      <c r="V248" s="349"/>
      <c r="W248" s="349"/>
      <c r="X248" s="349"/>
      <c r="Y248" s="349"/>
      <c r="Z248" s="349"/>
      <c r="AA248" s="349"/>
      <c r="AB248" s="349"/>
      <c r="AC248" s="349"/>
      <c r="AD248" s="349"/>
      <c r="AE248" s="349"/>
      <c r="AF248" s="349"/>
      <c r="AG248" s="349"/>
      <c r="AH248" s="349"/>
      <c r="AI248" s="349"/>
      <c r="AJ248" s="349"/>
      <c r="AK248" s="349"/>
      <c r="AL248" s="349"/>
      <c r="AM248" s="349"/>
      <c r="AN248" s="349"/>
      <c r="AO248" s="349"/>
      <c r="AP248" s="349"/>
      <c r="AQ248" s="349"/>
      <c r="AR248" s="349"/>
      <c r="AS248" s="349"/>
      <c r="AT248" s="349"/>
      <c r="AU248" s="349"/>
      <c r="AV248" s="349"/>
      <c r="AW248" s="349"/>
      <c r="AX248" s="349"/>
      <c r="AY248" s="349"/>
      <c r="AZ248" s="349"/>
      <c r="BA248" s="349"/>
      <c r="BB248" s="349"/>
      <c r="BC248" s="349"/>
      <c r="BD248" s="349"/>
      <c r="BE248" s="349"/>
      <c r="BF248" s="349"/>
      <c r="BG248" s="349"/>
      <c r="BH248" s="349"/>
      <c r="BI248" s="349"/>
      <c r="BJ248" s="349"/>
      <c r="BK248" s="349"/>
      <c r="BL248" s="349"/>
      <c r="BM248" s="349"/>
      <c r="BN248" s="349"/>
      <c r="BO248" s="349"/>
      <c r="BP248" s="349"/>
      <c r="BQ248" s="349"/>
      <c r="BR248" s="349"/>
      <c r="BS248" s="349"/>
    </row>
    <row r="249" spans="1:71" x14ac:dyDescent="0.3">
      <c r="A249" s="349"/>
      <c r="B249" s="349"/>
      <c r="C249" s="349"/>
      <c r="D249" s="349"/>
      <c r="E249" s="349"/>
      <c r="F249" s="349"/>
      <c r="G249" s="349"/>
      <c r="H249" s="349"/>
      <c r="I249" s="349"/>
      <c r="J249" s="349"/>
      <c r="K249" s="349"/>
      <c r="L249" s="349"/>
      <c r="M249" s="349"/>
      <c r="N249" s="349"/>
      <c r="O249" s="349"/>
      <c r="P249" s="349"/>
      <c r="Q249" s="349"/>
      <c r="R249" s="349"/>
      <c r="S249" s="349"/>
      <c r="T249" s="349"/>
      <c r="U249" s="349"/>
      <c r="V249" s="349"/>
      <c r="W249" s="349"/>
      <c r="X249" s="349"/>
      <c r="Y249" s="349"/>
      <c r="Z249" s="349"/>
      <c r="AA249" s="349"/>
      <c r="AB249" s="349"/>
      <c r="AC249" s="349"/>
      <c r="AD249" s="349"/>
      <c r="AE249" s="349"/>
      <c r="AF249" s="349"/>
      <c r="AG249" s="349"/>
      <c r="AH249" s="349"/>
      <c r="AI249" s="349"/>
      <c r="AJ249" s="349"/>
      <c r="AK249" s="349"/>
      <c r="AL249" s="349"/>
      <c r="AM249" s="349"/>
      <c r="AN249" s="349"/>
      <c r="AO249" s="349"/>
      <c r="AP249" s="349"/>
      <c r="AQ249" s="349"/>
      <c r="AR249" s="349"/>
      <c r="AS249" s="349"/>
      <c r="AT249" s="349"/>
      <c r="AU249" s="349"/>
      <c r="AV249" s="349"/>
      <c r="AW249" s="349"/>
      <c r="AX249" s="349"/>
      <c r="AY249" s="349"/>
      <c r="AZ249" s="349"/>
      <c r="BA249" s="349"/>
      <c r="BB249" s="349"/>
      <c r="BC249" s="349"/>
      <c r="BD249" s="349"/>
      <c r="BE249" s="349"/>
      <c r="BF249" s="349"/>
      <c r="BG249" s="349"/>
      <c r="BH249" s="349"/>
      <c r="BI249" s="349"/>
      <c r="BJ249" s="349"/>
      <c r="BK249" s="349"/>
      <c r="BL249" s="349"/>
      <c r="BM249" s="349"/>
      <c r="BN249" s="349"/>
      <c r="BO249" s="349"/>
      <c r="BP249" s="349"/>
      <c r="BQ249" s="349"/>
      <c r="BR249" s="349"/>
      <c r="BS249" s="349"/>
    </row>
    <row r="250" spans="1:71" x14ac:dyDescent="0.3">
      <c r="A250" s="349"/>
      <c r="B250" s="349"/>
      <c r="C250" s="349"/>
      <c r="D250" s="349"/>
      <c r="E250" s="349"/>
      <c r="F250" s="349"/>
      <c r="G250" s="349"/>
      <c r="H250" s="349"/>
      <c r="I250" s="349"/>
      <c r="J250" s="349"/>
      <c r="K250" s="349"/>
      <c r="L250" s="349"/>
      <c r="M250" s="349"/>
      <c r="N250" s="349"/>
      <c r="O250" s="349"/>
      <c r="P250" s="349"/>
      <c r="Q250" s="349"/>
      <c r="R250" s="349"/>
      <c r="S250" s="349"/>
      <c r="T250" s="349"/>
      <c r="U250" s="349"/>
      <c r="V250" s="349"/>
      <c r="W250" s="349"/>
      <c r="X250" s="349"/>
      <c r="Y250" s="349"/>
      <c r="Z250" s="349"/>
      <c r="AA250" s="349"/>
      <c r="AB250" s="349"/>
      <c r="AC250" s="349"/>
      <c r="AD250" s="349"/>
      <c r="AE250" s="349"/>
      <c r="AF250" s="349"/>
      <c r="AG250" s="349"/>
      <c r="AH250" s="349"/>
      <c r="AI250" s="349"/>
      <c r="AJ250" s="349"/>
      <c r="AK250" s="349"/>
      <c r="AL250" s="349"/>
      <c r="AM250" s="349"/>
      <c r="AN250" s="349"/>
      <c r="AO250" s="349"/>
      <c r="AP250" s="349"/>
      <c r="AQ250" s="349"/>
      <c r="AR250" s="349"/>
      <c r="AS250" s="349"/>
      <c r="AT250" s="349"/>
      <c r="AU250" s="349"/>
      <c r="AV250" s="349"/>
      <c r="AW250" s="349"/>
      <c r="AX250" s="349"/>
      <c r="AY250" s="349"/>
      <c r="AZ250" s="349"/>
      <c r="BA250" s="349"/>
      <c r="BB250" s="349"/>
      <c r="BC250" s="349"/>
      <c r="BD250" s="349"/>
      <c r="BE250" s="349"/>
      <c r="BF250" s="349"/>
      <c r="BG250" s="349"/>
      <c r="BH250" s="349"/>
      <c r="BI250" s="349"/>
      <c r="BJ250" s="349"/>
      <c r="BK250" s="349"/>
      <c r="BL250" s="349"/>
      <c r="BM250" s="349"/>
      <c r="BN250" s="349"/>
      <c r="BO250" s="349"/>
      <c r="BP250" s="349"/>
      <c r="BQ250" s="349"/>
      <c r="BR250" s="349"/>
      <c r="BS250" s="349"/>
    </row>
    <row r="251" spans="1:71" x14ac:dyDescent="0.3">
      <c r="A251" s="349"/>
      <c r="B251" s="349"/>
      <c r="C251" s="349"/>
      <c r="D251" s="349"/>
      <c r="E251" s="349"/>
      <c r="F251" s="349"/>
      <c r="G251" s="349"/>
      <c r="H251" s="349"/>
      <c r="I251" s="349"/>
      <c r="J251" s="349"/>
      <c r="K251" s="349"/>
      <c r="L251" s="349"/>
      <c r="M251" s="349"/>
      <c r="N251" s="349"/>
      <c r="O251" s="349"/>
      <c r="P251" s="349"/>
      <c r="Q251" s="349"/>
      <c r="R251" s="349"/>
      <c r="S251" s="349"/>
      <c r="T251" s="349"/>
      <c r="U251" s="349"/>
      <c r="V251" s="349"/>
      <c r="W251" s="349"/>
      <c r="X251" s="349"/>
      <c r="Y251" s="349"/>
      <c r="Z251" s="349"/>
      <c r="AA251" s="349"/>
      <c r="AB251" s="349"/>
      <c r="AC251" s="349"/>
      <c r="AD251" s="349"/>
      <c r="AE251" s="349"/>
      <c r="AF251" s="349"/>
      <c r="AG251" s="349"/>
      <c r="AH251" s="349"/>
      <c r="AI251" s="349"/>
      <c r="AJ251" s="349"/>
      <c r="AK251" s="349"/>
      <c r="AL251" s="349"/>
      <c r="AM251" s="349"/>
      <c r="AN251" s="349"/>
      <c r="AO251" s="349"/>
      <c r="AP251" s="349"/>
      <c r="AQ251" s="349"/>
      <c r="AR251" s="349"/>
      <c r="AS251" s="349"/>
      <c r="AT251" s="349"/>
      <c r="AU251" s="349"/>
      <c r="AV251" s="349"/>
      <c r="AW251" s="349"/>
      <c r="AX251" s="349"/>
      <c r="AY251" s="349"/>
      <c r="AZ251" s="349"/>
      <c r="BA251" s="349"/>
      <c r="BB251" s="349"/>
      <c r="BC251" s="349"/>
      <c r="BD251" s="349"/>
      <c r="BE251" s="349"/>
      <c r="BF251" s="349"/>
      <c r="BG251" s="349"/>
      <c r="BH251" s="349"/>
      <c r="BI251" s="349"/>
      <c r="BJ251" s="349"/>
      <c r="BK251" s="349"/>
      <c r="BL251" s="349"/>
      <c r="BM251" s="349"/>
      <c r="BN251" s="349"/>
      <c r="BO251" s="349"/>
      <c r="BP251" s="349"/>
      <c r="BQ251" s="349"/>
      <c r="BR251" s="349"/>
      <c r="BS251" s="349"/>
    </row>
    <row r="252" spans="1:71" x14ac:dyDescent="0.3">
      <c r="A252" s="349"/>
      <c r="B252" s="349"/>
      <c r="C252" s="349"/>
      <c r="D252" s="349"/>
      <c r="E252" s="349"/>
      <c r="F252" s="349"/>
      <c r="G252" s="349"/>
      <c r="H252" s="349"/>
      <c r="I252" s="349"/>
      <c r="J252" s="349"/>
      <c r="K252" s="349"/>
      <c r="L252" s="349"/>
      <c r="M252" s="349"/>
      <c r="N252" s="349"/>
      <c r="O252" s="349"/>
      <c r="P252" s="349"/>
      <c r="Q252" s="349"/>
      <c r="R252" s="349"/>
      <c r="S252" s="349"/>
      <c r="T252" s="349"/>
      <c r="U252" s="349"/>
      <c r="V252" s="349"/>
      <c r="W252" s="349"/>
      <c r="X252" s="349"/>
      <c r="Y252" s="349"/>
      <c r="Z252" s="349"/>
      <c r="AA252" s="349"/>
      <c r="AB252" s="349"/>
      <c r="AC252" s="349"/>
      <c r="AD252" s="349"/>
      <c r="AE252" s="349"/>
      <c r="AF252" s="349"/>
      <c r="AG252" s="349"/>
      <c r="AH252" s="349"/>
      <c r="AI252" s="349"/>
      <c r="AJ252" s="349"/>
      <c r="AK252" s="349"/>
      <c r="AL252" s="349"/>
      <c r="AM252" s="349"/>
      <c r="AN252" s="349"/>
      <c r="AO252" s="349"/>
      <c r="AP252" s="349"/>
      <c r="AQ252" s="349"/>
      <c r="AR252" s="349"/>
      <c r="AS252" s="349"/>
      <c r="AT252" s="349"/>
      <c r="AU252" s="349"/>
      <c r="AV252" s="349"/>
      <c r="AW252" s="349"/>
      <c r="AX252" s="349"/>
      <c r="AY252" s="349"/>
      <c r="AZ252" s="349"/>
      <c r="BA252" s="349"/>
      <c r="BB252" s="349"/>
      <c r="BC252" s="349"/>
      <c r="BD252" s="349"/>
      <c r="BE252" s="349"/>
      <c r="BF252" s="349"/>
      <c r="BG252" s="349"/>
      <c r="BH252" s="349"/>
      <c r="BI252" s="349"/>
      <c r="BJ252" s="349"/>
      <c r="BK252" s="349"/>
      <c r="BL252" s="349"/>
      <c r="BM252" s="349"/>
      <c r="BN252" s="349"/>
      <c r="BO252" s="349"/>
      <c r="BP252" s="349"/>
      <c r="BQ252" s="349"/>
      <c r="BR252" s="349"/>
      <c r="BS252" s="349"/>
    </row>
    <row r="253" spans="1:71" x14ac:dyDescent="0.3">
      <c r="A253" s="349"/>
      <c r="B253" s="349"/>
      <c r="C253" s="349"/>
      <c r="D253" s="349"/>
      <c r="E253" s="349"/>
      <c r="F253" s="349"/>
      <c r="G253" s="349"/>
      <c r="H253" s="349"/>
      <c r="I253" s="349"/>
      <c r="J253" s="349"/>
      <c r="K253" s="349"/>
      <c r="L253" s="349"/>
      <c r="M253" s="349"/>
      <c r="N253" s="349"/>
      <c r="O253" s="349"/>
      <c r="P253" s="349"/>
      <c r="Q253" s="349"/>
      <c r="R253" s="349"/>
      <c r="S253" s="349"/>
      <c r="T253" s="349"/>
      <c r="U253" s="349"/>
      <c r="V253" s="349"/>
      <c r="W253" s="349"/>
      <c r="X253" s="349"/>
      <c r="Y253" s="349"/>
      <c r="Z253" s="349"/>
      <c r="AA253" s="349"/>
      <c r="AB253" s="349"/>
      <c r="AC253" s="349"/>
      <c r="AD253" s="349"/>
      <c r="AE253" s="349"/>
      <c r="AF253" s="349"/>
      <c r="AG253" s="349"/>
      <c r="AH253" s="349"/>
      <c r="AI253" s="349"/>
      <c r="AJ253" s="349"/>
      <c r="AK253" s="349"/>
      <c r="AL253" s="349"/>
      <c r="AM253" s="349"/>
      <c r="AN253" s="349"/>
      <c r="AO253" s="349"/>
      <c r="AP253" s="349"/>
      <c r="AQ253" s="349"/>
      <c r="AR253" s="349"/>
      <c r="AS253" s="349"/>
      <c r="AT253" s="349"/>
      <c r="AU253" s="349"/>
      <c r="AV253" s="349"/>
      <c r="AW253" s="349"/>
      <c r="AX253" s="349"/>
      <c r="AY253" s="349"/>
      <c r="AZ253" s="349"/>
      <c r="BA253" s="349"/>
      <c r="BB253" s="349"/>
      <c r="BC253" s="349"/>
      <c r="BD253" s="349"/>
      <c r="BE253" s="349"/>
      <c r="BF253" s="349"/>
      <c r="BG253" s="349"/>
      <c r="BH253" s="349"/>
      <c r="BI253" s="349"/>
      <c r="BJ253" s="349"/>
      <c r="BK253" s="349"/>
      <c r="BL253" s="349"/>
      <c r="BM253" s="349"/>
      <c r="BN253" s="349"/>
      <c r="BO253" s="349"/>
      <c r="BP253" s="349"/>
      <c r="BQ253" s="349"/>
      <c r="BR253" s="349"/>
      <c r="BS253" s="349"/>
    </row>
    <row r="254" spans="1:71" x14ac:dyDescent="0.3">
      <c r="A254" s="349"/>
      <c r="B254" s="349"/>
      <c r="C254" s="349"/>
      <c r="D254" s="349"/>
      <c r="E254" s="349"/>
      <c r="F254" s="349"/>
      <c r="G254" s="349"/>
      <c r="H254" s="349"/>
      <c r="I254" s="349"/>
      <c r="J254" s="349"/>
      <c r="K254" s="349"/>
      <c r="L254" s="349"/>
      <c r="M254" s="349"/>
      <c r="N254" s="349"/>
      <c r="O254" s="349"/>
      <c r="P254" s="349"/>
      <c r="Q254" s="349"/>
      <c r="R254" s="349"/>
      <c r="S254" s="349"/>
      <c r="T254" s="349"/>
      <c r="U254" s="349"/>
      <c r="V254" s="349"/>
      <c r="W254" s="349"/>
      <c r="X254" s="349"/>
      <c r="Y254" s="349"/>
      <c r="Z254" s="349"/>
      <c r="AA254" s="349"/>
      <c r="AB254" s="349"/>
      <c r="AC254" s="349"/>
      <c r="AD254" s="349"/>
      <c r="AE254" s="349"/>
      <c r="AF254" s="349"/>
      <c r="AG254" s="349"/>
      <c r="AH254" s="349"/>
      <c r="AI254" s="349"/>
      <c r="AJ254" s="349"/>
      <c r="AK254" s="349"/>
      <c r="AL254" s="349"/>
      <c r="AM254" s="349"/>
      <c r="AN254" s="349"/>
      <c r="AO254" s="349"/>
      <c r="AP254" s="349"/>
      <c r="AQ254" s="349"/>
      <c r="AR254" s="349"/>
      <c r="AS254" s="349"/>
      <c r="AT254" s="349"/>
      <c r="AU254" s="349"/>
      <c r="AV254" s="349"/>
      <c r="AW254" s="349"/>
      <c r="AX254" s="349"/>
      <c r="AY254" s="349"/>
      <c r="AZ254" s="349"/>
      <c r="BA254" s="349"/>
      <c r="BB254" s="349"/>
      <c r="BC254" s="349"/>
      <c r="BD254" s="349"/>
      <c r="BE254" s="349"/>
      <c r="BF254" s="349"/>
      <c r="BG254" s="349"/>
      <c r="BH254" s="349"/>
      <c r="BI254" s="349"/>
      <c r="BJ254" s="349"/>
      <c r="BK254" s="349"/>
      <c r="BL254" s="349"/>
      <c r="BM254" s="349"/>
      <c r="BN254" s="349"/>
      <c r="BO254" s="349"/>
      <c r="BP254" s="349"/>
      <c r="BQ254" s="349"/>
      <c r="BR254" s="349"/>
      <c r="BS254" s="349"/>
    </row>
    <row r="255" spans="1:71" x14ac:dyDescent="0.3">
      <c r="A255" s="349"/>
      <c r="B255" s="349"/>
      <c r="C255" s="349"/>
      <c r="D255" s="349"/>
      <c r="E255" s="349"/>
      <c r="F255" s="349"/>
      <c r="G255" s="349"/>
      <c r="H255" s="349"/>
      <c r="I255" s="349"/>
      <c r="J255" s="349"/>
      <c r="K255" s="349"/>
      <c r="L255" s="349"/>
      <c r="M255" s="349"/>
      <c r="N255" s="349"/>
      <c r="O255" s="349"/>
      <c r="P255" s="349"/>
      <c r="Q255" s="349"/>
      <c r="R255" s="349"/>
      <c r="S255" s="349"/>
      <c r="T255" s="349"/>
      <c r="U255" s="349"/>
      <c r="V255" s="349"/>
      <c r="W255" s="349"/>
      <c r="X255" s="349"/>
      <c r="Y255" s="349"/>
      <c r="Z255" s="349"/>
      <c r="AA255" s="349"/>
      <c r="AB255" s="349"/>
      <c r="AC255" s="349"/>
      <c r="AD255" s="349"/>
      <c r="AE255" s="349"/>
      <c r="AF255" s="349"/>
      <c r="AG255" s="349"/>
      <c r="AH255" s="349"/>
      <c r="AI255" s="349"/>
      <c r="AJ255" s="349"/>
      <c r="AK255" s="349"/>
      <c r="AL255" s="349"/>
      <c r="AM255" s="349"/>
      <c r="AN255" s="349"/>
      <c r="AO255" s="349"/>
      <c r="AP255" s="349"/>
      <c r="AQ255" s="349"/>
      <c r="AR255" s="349"/>
      <c r="AS255" s="349"/>
      <c r="AT255" s="349"/>
      <c r="AU255" s="349"/>
      <c r="AV255" s="349"/>
      <c r="AW255" s="349"/>
      <c r="AX255" s="349"/>
      <c r="AY255" s="349"/>
      <c r="AZ255" s="349"/>
      <c r="BA255" s="349"/>
      <c r="BB255" s="349"/>
      <c r="BC255" s="349"/>
      <c r="BD255" s="349"/>
      <c r="BE255" s="349"/>
      <c r="BF255" s="349"/>
      <c r="BG255" s="349"/>
      <c r="BH255" s="349"/>
      <c r="BI255" s="349"/>
      <c r="BJ255" s="349"/>
      <c r="BK255" s="349"/>
      <c r="BL255" s="349"/>
      <c r="BM255" s="349"/>
      <c r="BN255" s="349"/>
      <c r="BO255" s="349"/>
      <c r="BP255" s="349"/>
      <c r="BQ255" s="349"/>
      <c r="BR255" s="349"/>
      <c r="BS255" s="349"/>
    </row>
    <row r="256" spans="1:71" x14ac:dyDescent="0.3">
      <c r="A256" s="349"/>
      <c r="B256" s="349"/>
      <c r="C256" s="349"/>
      <c r="D256" s="349"/>
      <c r="E256" s="349"/>
      <c r="F256" s="349"/>
      <c r="G256" s="349"/>
      <c r="H256" s="349"/>
      <c r="I256" s="349"/>
      <c r="J256" s="349"/>
      <c r="K256" s="349"/>
      <c r="L256" s="349"/>
      <c r="M256" s="349"/>
      <c r="N256" s="349"/>
      <c r="O256" s="349"/>
      <c r="P256" s="349"/>
      <c r="Q256" s="349"/>
      <c r="R256" s="349"/>
      <c r="S256" s="349"/>
      <c r="T256" s="349"/>
      <c r="U256" s="349"/>
      <c r="V256" s="349"/>
      <c r="W256" s="349"/>
      <c r="X256" s="349"/>
      <c r="Y256" s="349"/>
      <c r="Z256" s="349"/>
      <c r="AA256" s="349"/>
      <c r="AB256" s="349"/>
      <c r="AC256" s="349"/>
      <c r="AD256" s="349"/>
      <c r="AE256" s="349"/>
      <c r="AF256" s="349"/>
      <c r="AG256" s="349"/>
      <c r="AH256" s="349"/>
      <c r="AI256" s="349"/>
      <c r="AJ256" s="349"/>
      <c r="AK256" s="349"/>
      <c r="AL256" s="349"/>
      <c r="AM256" s="349"/>
      <c r="AN256" s="349"/>
      <c r="AO256" s="349"/>
      <c r="AP256" s="349"/>
      <c r="AQ256" s="349"/>
      <c r="AR256" s="349"/>
      <c r="AS256" s="349"/>
      <c r="AT256" s="349"/>
      <c r="AU256" s="349"/>
      <c r="AV256" s="349"/>
      <c r="AW256" s="349"/>
      <c r="AX256" s="349"/>
      <c r="AY256" s="349"/>
      <c r="AZ256" s="349"/>
      <c r="BA256" s="349"/>
      <c r="BB256" s="349"/>
      <c r="BC256" s="349"/>
      <c r="BD256" s="349"/>
      <c r="BE256" s="349"/>
      <c r="BF256" s="349"/>
      <c r="BG256" s="349"/>
      <c r="BH256" s="349"/>
      <c r="BI256" s="349"/>
      <c r="BJ256" s="349"/>
      <c r="BK256" s="349"/>
      <c r="BL256" s="349"/>
      <c r="BM256" s="349"/>
      <c r="BN256" s="349"/>
      <c r="BO256" s="349"/>
      <c r="BP256" s="349"/>
      <c r="BQ256" s="349"/>
      <c r="BR256" s="349"/>
      <c r="BS256" s="349"/>
    </row>
    <row r="257" spans="1:71" x14ac:dyDescent="0.3">
      <c r="A257" s="349"/>
      <c r="B257" s="349"/>
      <c r="C257" s="349"/>
      <c r="D257" s="349"/>
      <c r="E257" s="349"/>
      <c r="F257" s="349"/>
      <c r="G257" s="349"/>
      <c r="H257" s="349"/>
      <c r="I257" s="349"/>
      <c r="J257" s="349"/>
      <c r="K257" s="349"/>
      <c r="L257" s="349"/>
      <c r="M257" s="349"/>
      <c r="N257" s="349"/>
      <c r="O257" s="349"/>
      <c r="P257" s="349"/>
      <c r="Q257" s="349"/>
      <c r="R257" s="349"/>
      <c r="S257" s="349"/>
      <c r="T257" s="349"/>
      <c r="U257" s="349"/>
      <c r="V257" s="349"/>
      <c r="W257" s="349"/>
      <c r="X257" s="349"/>
      <c r="Y257" s="349"/>
      <c r="Z257" s="349"/>
      <c r="AA257" s="349"/>
      <c r="AB257" s="349"/>
      <c r="AC257" s="349"/>
      <c r="AD257" s="349"/>
      <c r="AE257" s="349"/>
      <c r="AF257" s="349"/>
      <c r="AG257" s="349"/>
      <c r="AH257" s="349"/>
      <c r="AI257" s="349"/>
      <c r="AJ257" s="349"/>
      <c r="AK257" s="349"/>
      <c r="AL257" s="349"/>
      <c r="AM257" s="349"/>
      <c r="AN257" s="349"/>
      <c r="AO257" s="349"/>
      <c r="AP257" s="349"/>
      <c r="AQ257" s="349"/>
      <c r="AR257" s="349"/>
      <c r="AS257" s="349"/>
      <c r="AT257" s="349"/>
      <c r="AU257" s="349"/>
      <c r="AV257" s="349"/>
      <c r="AW257" s="349"/>
      <c r="AX257" s="349"/>
      <c r="AY257" s="349"/>
      <c r="AZ257" s="349"/>
      <c r="BA257" s="349"/>
      <c r="BB257" s="349"/>
      <c r="BC257" s="349"/>
      <c r="BD257" s="349"/>
      <c r="BE257" s="349"/>
      <c r="BF257" s="349"/>
      <c r="BG257" s="349"/>
      <c r="BH257" s="349"/>
      <c r="BI257" s="349"/>
      <c r="BJ257" s="349"/>
      <c r="BK257" s="349"/>
      <c r="BL257" s="349"/>
      <c r="BM257" s="349"/>
      <c r="BN257" s="349"/>
      <c r="BO257" s="349"/>
      <c r="BP257" s="349"/>
      <c r="BQ257" s="349"/>
      <c r="BR257" s="349"/>
      <c r="BS257" s="349"/>
    </row>
    <row r="258" spans="1:71" x14ac:dyDescent="0.3">
      <c r="A258" s="349"/>
      <c r="B258" s="349"/>
      <c r="C258" s="349"/>
      <c r="D258" s="349"/>
      <c r="E258" s="349"/>
      <c r="F258" s="349"/>
      <c r="G258" s="349"/>
      <c r="H258" s="349"/>
      <c r="I258" s="349"/>
      <c r="J258" s="349"/>
      <c r="K258" s="349"/>
      <c r="L258" s="349"/>
      <c r="M258" s="349"/>
      <c r="N258" s="349"/>
      <c r="O258" s="349"/>
      <c r="P258" s="349"/>
      <c r="Q258" s="349"/>
      <c r="R258" s="349"/>
      <c r="S258" s="349"/>
      <c r="T258" s="349"/>
      <c r="U258" s="349"/>
      <c r="V258" s="349"/>
      <c r="W258" s="349"/>
      <c r="X258" s="349"/>
      <c r="Y258" s="349"/>
      <c r="Z258" s="349"/>
      <c r="AA258" s="349"/>
      <c r="AB258" s="349"/>
      <c r="AC258" s="349"/>
      <c r="AD258" s="349"/>
      <c r="AE258" s="349"/>
      <c r="AF258" s="349"/>
      <c r="AG258" s="349"/>
      <c r="AH258" s="349"/>
      <c r="AI258" s="349"/>
      <c r="AJ258" s="349"/>
      <c r="AK258" s="349"/>
      <c r="AL258" s="349"/>
      <c r="AM258" s="349"/>
      <c r="AN258" s="349"/>
      <c r="AO258" s="349"/>
      <c r="AP258" s="349"/>
      <c r="AQ258" s="349"/>
      <c r="AR258" s="349"/>
      <c r="AS258" s="349"/>
      <c r="AT258" s="349"/>
      <c r="AU258" s="349"/>
      <c r="AV258" s="349"/>
      <c r="AW258" s="349"/>
      <c r="AX258" s="349"/>
      <c r="AY258" s="349"/>
      <c r="AZ258" s="349"/>
      <c r="BA258" s="349"/>
      <c r="BB258" s="349"/>
      <c r="BC258" s="349"/>
      <c r="BD258" s="349"/>
      <c r="BE258" s="349"/>
      <c r="BF258" s="349"/>
      <c r="BG258" s="349"/>
      <c r="BH258" s="349"/>
      <c r="BI258" s="349"/>
      <c r="BJ258" s="349"/>
      <c r="BK258" s="349"/>
      <c r="BL258" s="349"/>
      <c r="BM258" s="349"/>
      <c r="BN258" s="349"/>
      <c r="BO258" s="349"/>
      <c r="BP258" s="349"/>
      <c r="BQ258" s="349"/>
      <c r="BR258" s="349"/>
      <c r="BS258" s="349"/>
    </row>
    <row r="259" spans="1:71" x14ac:dyDescent="0.3">
      <c r="A259" s="349"/>
      <c r="B259" s="349"/>
      <c r="C259" s="349"/>
      <c r="D259" s="349"/>
      <c r="E259" s="349"/>
      <c r="F259" s="349"/>
      <c r="G259" s="349"/>
      <c r="H259" s="349"/>
      <c r="I259" s="349"/>
      <c r="J259" s="349"/>
      <c r="K259" s="349"/>
      <c r="L259" s="349"/>
      <c r="M259" s="349"/>
      <c r="N259" s="349"/>
      <c r="O259" s="349"/>
      <c r="P259" s="349"/>
      <c r="Q259" s="349"/>
      <c r="R259" s="349"/>
      <c r="S259" s="349"/>
      <c r="T259" s="349"/>
      <c r="U259" s="349"/>
      <c r="V259" s="349"/>
      <c r="W259" s="349"/>
      <c r="X259" s="349"/>
      <c r="Y259" s="349"/>
      <c r="Z259" s="349"/>
      <c r="AA259" s="349"/>
      <c r="AB259" s="349"/>
      <c r="AC259" s="349"/>
      <c r="AD259" s="349"/>
      <c r="AE259" s="349"/>
      <c r="AF259" s="349"/>
      <c r="AG259" s="349"/>
      <c r="AH259" s="349"/>
      <c r="AI259" s="349"/>
      <c r="AJ259" s="349"/>
      <c r="AK259" s="349"/>
      <c r="AL259" s="349"/>
      <c r="AM259" s="349"/>
      <c r="AN259" s="349"/>
      <c r="AO259" s="349"/>
      <c r="AP259" s="349"/>
      <c r="AQ259" s="349"/>
      <c r="AR259" s="349"/>
      <c r="AS259" s="349"/>
      <c r="AT259" s="349"/>
      <c r="AU259" s="349"/>
      <c r="AV259" s="349"/>
      <c r="AW259" s="349"/>
      <c r="AX259" s="349"/>
      <c r="AY259" s="349"/>
      <c r="AZ259" s="349"/>
      <c r="BA259" s="349"/>
      <c r="BB259" s="349"/>
      <c r="BC259" s="349"/>
      <c r="BD259" s="349"/>
      <c r="BE259" s="349"/>
      <c r="BF259" s="349"/>
      <c r="BG259" s="349"/>
      <c r="BH259" s="349"/>
      <c r="BI259" s="349"/>
      <c r="BJ259" s="349"/>
      <c r="BK259" s="349"/>
      <c r="BL259" s="349"/>
      <c r="BM259" s="349"/>
      <c r="BN259" s="349"/>
      <c r="BO259" s="349"/>
      <c r="BP259" s="349"/>
      <c r="BQ259" s="349"/>
      <c r="BR259" s="349"/>
      <c r="BS259" s="349"/>
    </row>
    <row r="260" spans="1:71" x14ac:dyDescent="0.3">
      <c r="A260" s="349"/>
      <c r="B260" s="349"/>
      <c r="C260" s="349"/>
      <c r="D260" s="349"/>
      <c r="E260" s="349"/>
      <c r="F260" s="349"/>
      <c r="G260" s="349"/>
      <c r="H260" s="349"/>
      <c r="I260" s="349"/>
      <c r="J260" s="349"/>
      <c r="K260" s="349"/>
      <c r="L260" s="349"/>
      <c r="M260" s="349"/>
      <c r="N260" s="349"/>
      <c r="O260" s="349"/>
      <c r="P260" s="349"/>
      <c r="Q260" s="349"/>
      <c r="R260" s="349"/>
      <c r="S260" s="349"/>
      <c r="T260" s="349"/>
      <c r="U260" s="349"/>
      <c r="V260" s="349"/>
      <c r="W260" s="349"/>
      <c r="X260" s="349"/>
      <c r="Y260" s="349"/>
      <c r="Z260" s="349"/>
      <c r="AA260" s="349"/>
      <c r="AB260" s="349"/>
      <c r="AC260" s="349"/>
      <c r="AD260" s="349"/>
      <c r="AE260" s="349"/>
      <c r="AF260" s="349"/>
      <c r="AG260" s="349"/>
      <c r="AH260" s="349"/>
      <c r="AI260" s="349"/>
      <c r="AJ260" s="349"/>
      <c r="AK260" s="349"/>
      <c r="AL260" s="349"/>
      <c r="AM260" s="349"/>
      <c r="AN260" s="349"/>
      <c r="AO260" s="349"/>
      <c r="AP260" s="349"/>
      <c r="AQ260" s="349"/>
      <c r="AR260" s="349"/>
      <c r="AS260" s="349"/>
      <c r="AT260" s="349"/>
      <c r="AU260" s="349"/>
      <c r="AV260" s="349"/>
      <c r="AW260" s="349"/>
      <c r="AX260" s="349"/>
      <c r="AY260" s="349"/>
      <c r="AZ260" s="349"/>
      <c r="BA260" s="349"/>
      <c r="BB260" s="349"/>
      <c r="BC260" s="349"/>
      <c r="BD260" s="349"/>
      <c r="BE260" s="349"/>
      <c r="BF260" s="349"/>
      <c r="BG260" s="349"/>
      <c r="BH260" s="349"/>
      <c r="BI260" s="349"/>
      <c r="BJ260" s="349"/>
      <c r="BK260" s="349"/>
      <c r="BL260" s="349"/>
      <c r="BM260" s="349"/>
      <c r="BN260" s="349"/>
      <c r="BO260" s="349"/>
      <c r="BP260" s="349"/>
      <c r="BQ260" s="349"/>
      <c r="BR260" s="349"/>
      <c r="BS260" s="349"/>
    </row>
    <row r="261" spans="1:71" x14ac:dyDescent="0.3">
      <c r="A261" s="349"/>
      <c r="B261" s="349"/>
      <c r="C261" s="349"/>
      <c r="D261" s="349"/>
      <c r="E261" s="349"/>
      <c r="F261" s="349"/>
      <c r="G261" s="349"/>
      <c r="H261" s="349"/>
      <c r="I261" s="349"/>
      <c r="J261" s="349"/>
      <c r="K261" s="349"/>
      <c r="L261" s="349"/>
      <c r="M261" s="349"/>
      <c r="N261" s="349"/>
      <c r="O261" s="349"/>
      <c r="P261" s="349"/>
      <c r="Q261" s="349"/>
      <c r="R261" s="349"/>
      <c r="S261" s="349"/>
      <c r="T261" s="349"/>
      <c r="U261" s="349"/>
      <c r="V261" s="349"/>
      <c r="W261" s="349"/>
      <c r="X261" s="349"/>
      <c r="Y261" s="349"/>
      <c r="Z261" s="349"/>
      <c r="AA261" s="349"/>
      <c r="AB261" s="349"/>
      <c r="AC261" s="349"/>
      <c r="AD261" s="349"/>
      <c r="AE261" s="349"/>
      <c r="AF261" s="349"/>
      <c r="AG261" s="349"/>
      <c r="AH261" s="349"/>
      <c r="AI261" s="349"/>
      <c r="AJ261" s="349"/>
      <c r="AK261" s="349"/>
      <c r="AL261" s="349"/>
      <c r="AM261" s="349"/>
      <c r="AN261" s="349"/>
      <c r="AO261" s="349"/>
      <c r="AP261" s="349"/>
      <c r="AQ261" s="349"/>
      <c r="AR261" s="349"/>
      <c r="AS261" s="349"/>
      <c r="AT261" s="349"/>
      <c r="AU261" s="349"/>
      <c r="AV261" s="349"/>
      <c r="AW261" s="349"/>
      <c r="AX261" s="349"/>
      <c r="AY261" s="349"/>
      <c r="AZ261" s="349"/>
      <c r="BA261" s="349"/>
      <c r="BB261" s="349"/>
      <c r="BC261" s="349"/>
      <c r="BD261" s="349"/>
      <c r="BE261" s="349"/>
      <c r="BF261" s="349"/>
      <c r="BG261" s="349"/>
      <c r="BH261" s="349"/>
      <c r="BI261" s="349"/>
      <c r="BJ261" s="349"/>
      <c r="BK261" s="349"/>
      <c r="BL261" s="349"/>
      <c r="BM261" s="349"/>
      <c r="BN261" s="349"/>
      <c r="BO261" s="349"/>
      <c r="BP261" s="349"/>
      <c r="BQ261" s="349"/>
      <c r="BR261" s="349"/>
      <c r="BS261" s="349"/>
    </row>
    <row r="262" spans="1:71" x14ac:dyDescent="0.3">
      <c r="A262" s="349"/>
      <c r="B262" s="349"/>
      <c r="C262" s="349"/>
      <c r="D262" s="349"/>
      <c r="E262" s="349"/>
      <c r="F262" s="349"/>
      <c r="G262" s="349"/>
      <c r="H262" s="349"/>
      <c r="I262" s="349"/>
      <c r="J262" s="349"/>
      <c r="K262" s="349"/>
      <c r="L262" s="349"/>
      <c r="M262" s="349"/>
      <c r="N262" s="349"/>
      <c r="O262" s="349"/>
      <c r="P262" s="349"/>
      <c r="Q262" s="349"/>
      <c r="R262" s="349"/>
      <c r="S262" s="349"/>
      <c r="T262" s="349"/>
      <c r="U262" s="349"/>
      <c r="V262" s="349"/>
      <c r="W262" s="349"/>
      <c r="X262" s="349"/>
      <c r="Y262" s="349"/>
      <c r="Z262" s="349"/>
      <c r="AA262" s="349"/>
      <c r="AB262" s="349"/>
      <c r="AC262" s="349"/>
      <c r="AD262" s="349"/>
      <c r="AE262" s="349"/>
      <c r="AF262" s="349"/>
      <c r="AG262" s="349"/>
      <c r="AH262" s="349"/>
      <c r="AI262" s="349"/>
      <c r="AJ262" s="349"/>
      <c r="AK262" s="349"/>
      <c r="AL262" s="349"/>
      <c r="AM262" s="349"/>
      <c r="AN262" s="349"/>
      <c r="AO262" s="349"/>
      <c r="AP262" s="349"/>
      <c r="AQ262" s="349"/>
      <c r="AR262" s="349"/>
      <c r="AS262" s="349"/>
      <c r="AT262" s="349"/>
      <c r="AU262" s="349"/>
      <c r="AV262" s="349"/>
      <c r="AW262" s="349"/>
      <c r="AX262" s="349"/>
      <c r="AY262" s="349"/>
      <c r="AZ262" s="349"/>
      <c r="BA262" s="349"/>
      <c r="BB262" s="349"/>
      <c r="BC262" s="349"/>
      <c r="BD262" s="349"/>
      <c r="BE262" s="349"/>
      <c r="BF262" s="349"/>
      <c r="BG262" s="349"/>
      <c r="BH262" s="349"/>
      <c r="BI262" s="349"/>
      <c r="BJ262" s="349"/>
      <c r="BK262" s="349"/>
      <c r="BL262" s="349"/>
      <c r="BM262" s="349"/>
      <c r="BN262" s="349"/>
      <c r="BO262" s="349"/>
      <c r="BP262" s="349"/>
      <c r="BQ262" s="349"/>
      <c r="BR262" s="349"/>
      <c r="BS262" s="349"/>
    </row>
    <row r="263" spans="1:71" x14ac:dyDescent="0.3">
      <c r="A263" s="349"/>
      <c r="B263" s="349"/>
      <c r="C263" s="349"/>
      <c r="D263" s="349"/>
      <c r="E263" s="349"/>
      <c r="F263" s="349"/>
      <c r="G263" s="349"/>
      <c r="H263" s="349"/>
      <c r="I263" s="349"/>
      <c r="J263" s="349"/>
      <c r="K263" s="349"/>
      <c r="L263" s="349"/>
      <c r="M263" s="349"/>
      <c r="N263" s="349"/>
      <c r="O263" s="349"/>
      <c r="P263" s="349"/>
      <c r="Q263" s="349"/>
      <c r="R263" s="349"/>
      <c r="S263" s="349"/>
      <c r="T263" s="349"/>
      <c r="U263" s="349"/>
      <c r="V263" s="349"/>
      <c r="W263" s="349"/>
      <c r="X263" s="349"/>
      <c r="Y263" s="349"/>
      <c r="Z263" s="349"/>
      <c r="AA263" s="349"/>
      <c r="AB263" s="349"/>
      <c r="AC263" s="349"/>
      <c r="AD263" s="349"/>
      <c r="AE263" s="349"/>
      <c r="AF263" s="349"/>
      <c r="AG263" s="349"/>
      <c r="AH263" s="349"/>
      <c r="AI263" s="349"/>
      <c r="AJ263" s="349"/>
      <c r="AK263" s="349"/>
      <c r="AL263" s="349"/>
      <c r="AM263" s="349"/>
      <c r="AN263" s="349"/>
      <c r="AO263" s="349"/>
      <c r="AP263" s="349"/>
      <c r="AQ263" s="349"/>
      <c r="AR263" s="349"/>
      <c r="AS263" s="349"/>
      <c r="AT263" s="349"/>
      <c r="AU263" s="349"/>
      <c r="AV263" s="349"/>
      <c r="AW263" s="349"/>
      <c r="AX263" s="349"/>
      <c r="AY263" s="349"/>
      <c r="AZ263" s="349"/>
      <c r="BA263" s="349"/>
      <c r="BB263" s="349"/>
      <c r="BC263" s="349"/>
      <c r="BD263" s="349"/>
      <c r="BE263" s="349"/>
      <c r="BF263" s="349"/>
      <c r="BG263" s="349"/>
      <c r="BH263" s="349"/>
      <c r="BI263" s="349"/>
      <c r="BJ263" s="349"/>
      <c r="BK263" s="349"/>
      <c r="BL263" s="349"/>
      <c r="BM263" s="349"/>
      <c r="BN263" s="349"/>
      <c r="BO263" s="349"/>
      <c r="BP263" s="349"/>
      <c r="BQ263" s="349"/>
      <c r="BR263" s="349"/>
      <c r="BS263" s="349"/>
    </row>
    <row r="264" spans="1:71" x14ac:dyDescent="0.3">
      <c r="A264" s="349"/>
      <c r="B264" s="349"/>
      <c r="C264" s="349"/>
      <c r="D264" s="349"/>
      <c r="E264" s="349"/>
      <c r="F264" s="349"/>
      <c r="G264" s="349"/>
      <c r="H264" s="349"/>
      <c r="I264" s="349"/>
      <c r="J264" s="349"/>
      <c r="K264" s="349"/>
      <c r="L264" s="349"/>
      <c r="M264" s="349"/>
      <c r="N264" s="349"/>
      <c r="O264" s="349"/>
      <c r="P264" s="349"/>
      <c r="Q264" s="349"/>
      <c r="R264" s="349"/>
      <c r="S264" s="349"/>
      <c r="T264" s="349"/>
      <c r="U264" s="349"/>
      <c r="V264" s="349"/>
      <c r="W264" s="349"/>
      <c r="X264" s="349"/>
      <c r="Y264" s="349"/>
      <c r="Z264" s="349"/>
      <c r="AA264" s="349"/>
      <c r="AB264" s="349"/>
      <c r="AC264" s="349"/>
      <c r="AD264" s="349"/>
      <c r="AE264" s="349"/>
      <c r="AF264" s="349"/>
      <c r="AG264" s="349"/>
      <c r="AH264" s="349"/>
      <c r="AI264" s="349"/>
      <c r="AJ264" s="349"/>
      <c r="AK264" s="349"/>
      <c r="AL264" s="349"/>
      <c r="AM264" s="349"/>
      <c r="AN264" s="349"/>
      <c r="AO264" s="349"/>
      <c r="AP264" s="349"/>
      <c r="AQ264" s="349"/>
      <c r="AR264" s="349"/>
      <c r="AS264" s="349"/>
      <c r="AT264" s="349"/>
      <c r="AU264" s="349"/>
      <c r="AV264" s="349"/>
      <c r="AW264" s="349"/>
      <c r="AX264" s="349"/>
      <c r="AY264" s="349"/>
      <c r="AZ264" s="349"/>
      <c r="BA264" s="349"/>
      <c r="BB264" s="349"/>
      <c r="BC264" s="349"/>
      <c r="BD264" s="349"/>
      <c r="BE264" s="349"/>
      <c r="BF264" s="349"/>
      <c r="BG264" s="349"/>
      <c r="BH264" s="349"/>
      <c r="BI264" s="349"/>
      <c r="BJ264" s="349"/>
      <c r="BK264" s="349"/>
      <c r="BL264" s="349"/>
      <c r="BM264" s="349"/>
      <c r="BN264" s="349"/>
      <c r="BO264" s="349"/>
      <c r="BP264" s="349"/>
      <c r="BQ264" s="349"/>
      <c r="BR264" s="349"/>
      <c r="BS264" s="349"/>
    </row>
    <row r="265" spans="1:71" x14ac:dyDescent="0.3">
      <c r="A265" s="349"/>
      <c r="B265" s="349"/>
      <c r="C265" s="349"/>
      <c r="D265" s="349"/>
      <c r="E265" s="349"/>
      <c r="F265" s="349"/>
      <c r="G265" s="349"/>
      <c r="H265" s="349"/>
      <c r="I265" s="349"/>
      <c r="J265" s="349"/>
      <c r="K265" s="349"/>
      <c r="L265" s="349"/>
      <c r="M265" s="349"/>
      <c r="N265" s="349"/>
      <c r="O265" s="349"/>
      <c r="P265" s="349"/>
      <c r="Q265" s="349"/>
      <c r="R265" s="349"/>
      <c r="S265" s="349"/>
      <c r="T265" s="349"/>
      <c r="U265" s="349"/>
      <c r="V265" s="349"/>
      <c r="W265" s="349"/>
      <c r="X265" s="349"/>
      <c r="Y265" s="349"/>
      <c r="Z265" s="349"/>
      <c r="AA265" s="349"/>
      <c r="AB265" s="349"/>
      <c r="AC265" s="349"/>
      <c r="AD265" s="349"/>
      <c r="AE265" s="349"/>
      <c r="AF265" s="349"/>
      <c r="AG265" s="349"/>
      <c r="AH265" s="349"/>
      <c r="AI265" s="349"/>
      <c r="AJ265" s="349"/>
      <c r="AK265" s="349"/>
      <c r="AL265" s="349"/>
      <c r="AM265" s="349"/>
      <c r="AN265" s="349"/>
      <c r="AO265" s="349"/>
      <c r="AP265" s="349"/>
      <c r="AQ265" s="349"/>
      <c r="AR265" s="349"/>
      <c r="AS265" s="349"/>
      <c r="AT265" s="349"/>
      <c r="AU265" s="349"/>
      <c r="AV265" s="349"/>
      <c r="AW265" s="349"/>
      <c r="AX265" s="349"/>
      <c r="AY265" s="349"/>
      <c r="AZ265" s="349"/>
      <c r="BA265" s="349"/>
      <c r="BB265" s="349"/>
      <c r="BC265" s="349"/>
      <c r="BD265" s="349"/>
      <c r="BE265" s="349"/>
      <c r="BF265" s="349"/>
      <c r="BG265" s="349"/>
      <c r="BH265" s="349"/>
      <c r="BI265" s="349"/>
      <c r="BJ265" s="349"/>
      <c r="BK265" s="349"/>
      <c r="BL265" s="349"/>
      <c r="BM265" s="349"/>
      <c r="BN265" s="349"/>
      <c r="BO265" s="349"/>
      <c r="BP265" s="349"/>
      <c r="BQ265" s="349"/>
      <c r="BR265" s="349"/>
      <c r="BS265" s="349"/>
    </row>
    <row r="266" spans="1:71" x14ac:dyDescent="0.3">
      <c r="A266" s="349"/>
      <c r="B266" s="349"/>
      <c r="C266" s="349"/>
      <c r="D266" s="349"/>
      <c r="E266" s="349"/>
      <c r="F266" s="349"/>
      <c r="G266" s="349"/>
      <c r="H266" s="349"/>
      <c r="I266" s="349"/>
      <c r="J266" s="349"/>
      <c r="K266" s="349"/>
      <c r="L266" s="349"/>
      <c r="M266" s="349"/>
      <c r="N266" s="349"/>
      <c r="O266" s="349"/>
      <c r="P266" s="349"/>
      <c r="Q266" s="349"/>
      <c r="R266" s="349"/>
      <c r="S266" s="349"/>
      <c r="T266" s="349"/>
      <c r="U266" s="349"/>
      <c r="V266" s="349"/>
      <c r="W266" s="349"/>
      <c r="X266" s="349"/>
      <c r="Y266" s="349"/>
      <c r="Z266" s="349"/>
      <c r="AA266" s="349"/>
      <c r="AB266" s="349"/>
      <c r="AC266" s="349"/>
      <c r="AD266" s="349"/>
      <c r="AE266" s="349"/>
      <c r="AF266" s="349"/>
      <c r="AG266" s="349"/>
      <c r="AH266" s="349"/>
      <c r="AI266" s="349"/>
      <c r="AJ266" s="349"/>
      <c r="AK266" s="349"/>
      <c r="AL266" s="349"/>
      <c r="AM266" s="349"/>
      <c r="AN266" s="349"/>
      <c r="AO266" s="349"/>
      <c r="AP266" s="349"/>
      <c r="AQ266" s="349"/>
      <c r="AR266" s="349"/>
      <c r="AS266" s="349"/>
      <c r="AT266" s="349"/>
      <c r="AU266" s="349"/>
      <c r="AV266" s="349"/>
      <c r="AW266" s="349"/>
      <c r="AX266" s="349"/>
      <c r="AY266" s="349"/>
      <c r="AZ266" s="349"/>
      <c r="BA266" s="349"/>
      <c r="BB266" s="349"/>
      <c r="BC266" s="349"/>
      <c r="BD266" s="349"/>
      <c r="BE266" s="349"/>
      <c r="BF266" s="349"/>
      <c r="BG266" s="349"/>
      <c r="BH266" s="349"/>
      <c r="BI266" s="349"/>
      <c r="BJ266" s="349"/>
      <c r="BK266" s="349"/>
      <c r="BL266" s="349"/>
      <c r="BM266" s="349"/>
      <c r="BN266" s="349"/>
      <c r="BO266" s="349"/>
      <c r="BP266" s="349"/>
      <c r="BQ266" s="349"/>
      <c r="BR266" s="349"/>
      <c r="BS266" s="349"/>
    </row>
    <row r="267" spans="1:71" x14ac:dyDescent="0.3">
      <c r="A267" s="349"/>
      <c r="B267" s="349"/>
      <c r="C267" s="349"/>
      <c r="D267" s="349"/>
      <c r="E267" s="349"/>
      <c r="F267" s="349"/>
      <c r="G267" s="349"/>
      <c r="H267" s="349"/>
      <c r="I267" s="349"/>
      <c r="J267" s="349"/>
      <c r="K267" s="349"/>
      <c r="L267" s="349"/>
      <c r="M267" s="349"/>
      <c r="N267" s="349"/>
      <c r="O267" s="349"/>
      <c r="P267" s="349"/>
      <c r="Q267" s="349"/>
      <c r="R267" s="349"/>
      <c r="S267" s="349"/>
      <c r="T267" s="349"/>
      <c r="U267" s="349"/>
      <c r="V267" s="349"/>
      <c r="W267" s="349"/>
      <c r="X267" s="349"/>
      <c r="Y267" s="349"/>
      <c r="Z267" s="349"/>
      <c r="AA267" s="349"/>
      <c r="AB267" s="349"/>
      <c r="AC267" s="349"/>
      <c r="AD267" s="349"/>
      <c r="AE267" s="349"/>
      <c r="AF267" s="349"/>
      <c r="AG267" s="349"/>
      <c r="AH267" s="349"/>
      <c r="AI267" s="349"/>
      <c r="AJ267" s="349"/>
      <c r="AK267" s="349"/>
      <c r="AL267" s="349"/>
      <c r="AM267" s="349"/>
      <c r="AN267" s="349"/>
      <c r="AO267" s="349"/>
      <c r="AP267" s="349"/>
      <c r="AQ267" s="349"/>
      <c r="AR267" s="349"/>
      <c r="AS267" s="349"/>
      <c r="AT267" s="349"/>
      <c r="AU267" s="349"/>
      <c r="AV267" s="349"/>
      <c r="AW267" s="349"/>
      <c r="AX267" s="349"/>
      <c r="AY267" s="349"/>
      <c r="AZ267" s="349"/>
      <c r="BA267" s="349"/>
      <c r="BB267" s="349"/>
      <c r="BC267" s="349"/>
      <c r="BD267" s="349"/>
      <c r="BE267" s="349"/>
      <c r="BF267" s="349"/>
      <c r="BG267" s="349"/>
      <c r="BH267" s="349"/>
      <c r="BI267" s="349"/>
      <c r="BJ267" s="349"/>
      <c r="BK267" s="349"/>
      <c r="BL267" s="349"/>
      <c r="BM267" s="349"/>
      <c r="BN267" s="349"/>
      <c r="BO267" s="349"/>
      <c r="BP267" s="349"/>
      <c r="BQ267" s="349"/>
      <c r="BR267" s="349"/>
      <c r="BS267" s="349"/>
    </row>
    <row r="268" spans="1:71" x14ac:dyDescent="0.3">
      <c r="A268" s="349"/>
      <c r="B268" s="349"/>
      <c r="C268" s="349"/>
      <c r="D268" s="349"/>
      <c r="E268" s="349"/>
      <c r="F268" s="349"/>
      <c r="G268" s="349"/>
      <c r="H268" s="349"/>
      <c r="I268" s="349"/>
      <c r="J268" s="349"/>
      <c r="K268" s="349"/>
      <c r="L268" s="349"/>
      <c r="M268" s="349"/>
      <c r="N268" s="349"/>
      <c r="O268" s="349"/>
      <c r="P268" s="349"/>
      <c r="Q268" s="349"/>
      <c r="R268" s="349"/>
      <c r="S268" s="349"/>
      <c r="T268" s="349"/>
      <c r="U268" s="349"/>
      <c r="V268" s="349"/>
      <c r="W268" s="349"/>
      <c r="X268" s="349"/>
      <c r="Y268" s="349"/>
      <c r="Z268" s="349"/>
      <c r="AA268" s="349"/>
      <c r="AB268" s="349"/>
      <c r="AC268" s="349"/>
      <c r="AD268" s="349"/>
      <c r="AE268" s="349"/>
      <c r="AF268" s="349"/>
      <c r="AG268" s="349"/>
      <c r="AH268" s="349"/>
      <c r="AI268" s="349"/>
      <c r="AJ268" s="349"/>
      <c r="AK268" s="349"/>
      <c r="AL268" s="349"/>
      <c r="AM268" s="349"/>
      <c r="AN268" s="349"/>
      <c r="AO268" s="349"/>
      <c r="AP268" s="349"/>
      <c r="AQ268" s="349"/>
      <c r="AR268" s="349"/>
      <c r="AS268" s="349"/>
      <c r="AT268" s="349"/>
      <c r="AU268" s="349"/>
      <c r="AV268" s="349"/>
      <c r="AW268" s="349"/>
      <c r="AX268" s="349"/>
      <c r="AY268" s="349"/>
      <c r="AZ268" s="349"/>
      <c r="BA268" s="349"/>
      <c r="BB268" s="349"/>
      <c r="BC268" s="349"/>
      <c r="BD268" s="349"/>
      <c r="BE268" s="349"/>
      <c r="BF268" s="349"/>
      <c r="BG268" s="349"/>
      <c r="BH268" s="349"/>
      <c r="BI268" s="349"/>
      <c r="BJ268" s="349"/>
      <c r="BK268" s="349"/>
      <c r="BL268" s="349"/>
      <c r="BM268" s="349"/>
      <c r="BN268" s="349"/>
      <c r="BO268" s="349"/>
      <c r="BP268" s="349"/>
      <c r="BQ268" s="349"/>
      <c r="BR268" s="349"/>
      <c r="BS268" s="349"/>
    </row>
    <row r="269" spans="1:71" x14ac:dyDescent="0.3">
      <c r="A269" s="349"/>
      <c r="B269" s="349"/>
      <c r="C269" s="349"/>
      <c r="D269" s="349"/>
      <c r="E269" s="349"/>
      <c r="F269" s="349"/>
      <c r="G269" s="349"/>
      <c r="H269" s="349"/>
      <c r="I269" s="349"/>
      <c r="J269" s="349"/>
      <c r="K269" s="349"/>
      <c r="L269" s="349"/>
      <c r="M269" s="349"/>
      <c r="N269" s="349"/>
      <c r="O269" s="349"/>
      <c r="P269" s="349"/>
      <c r="Q269" s="349"/>
      <c r="R269" s="349"/>
      <c r="S269" s="349"/>
      <c r="T269" s="349"/>
      <c r="U269" s="349"/>
      <c r="V269" s="349"/>
      <c r="W269" s="349"/>
      <c r="X269" s="349"/>
      <c r="Y269" s="349"/>
      <c r="Z269" s="349"/>
      <c r="AA269" s="349"/>
      <c r="AB269" s="349"/>
      <c r="AC269" s="349"/>
      <c r="AD269" s="349"/>
      <c r="AE269" s="349"/>
      <c r="AF269" s="349"/>
      <c r="AG269" s="349"/>
      <c r="AH269" s="349"/>
      <c r="AI269" s="349"/>
      <c r="AJ269" s="349"/>
      <c r="AK269" s="349"/>
      <c r="AL269" s="349"/>
      <c r="AM269" s="349"/>
      <c r="AN269" s="349"/>
      <c r="AO269" s="349"/>
      <c r="AP269" s="349"/>
      <c r="AQ269" s="349"/>
      <c r="AR269" s="349"/>
      <c r="AS269" s="349"/>
      <c r="AT269" s="349"/>
      <c r="AU269" s="349"/>
      <c r="AV269" s="349"/>
      <c r="AW269" s="349"/>
      <c r="AX269" s="349"/>
      <c r="AY269" s="349"/>
      <c r="AZ269" s="349"/>
      <c r="BA269" s="349"/>
      <c r="BB269" s="349"/>
      <c r="BC269" s="349"/>
      <c r="BD269" s="349"/>
      <c r="BE269" s="349"/>
      <c r="BF269" s="349"/>
      <c r="BG269" s="349"/>
      <c r="BH269" s="349"/>
      <c r="BI269" s="349"/>
      <c r="BJ269" s="349"/>
      <c r="BK269" s="349"/>
      <c r="BL269" s="349"/>
      <c r="BM269" s="349"/>
      <c r="BN269" s="349"/>
      <c r="BO269" s="349"/>
      <c r="BP269" s="349"/>
      <c r="BQ269" s="349"/>
      <c r="BR269" s="349"/>
      <c r="BS269" s="349"/>
    </row>
    <row r="270" spans="1:71" x14ac:dyDescent="0.3">
      <c r="A270" s="349"/>
      <c r="B270" s="349"/>
      <c r="C270" s="349"/>
      <c r="D270" s="349"/>
      <c r="E270" s="349"/>
      <c r="F270" s="349"/>
      <c r="G270" s="349"/>
      <c r="H270" s="349"/>
      <c r="I270" s="349"/>
      <c r="J270" s="349"/>
      <c r="K270" s="349"/>
      <c r="L270" s="349"/>
      <c r="M270" s="349"/>
      <c r="N270" s="349"/>
      <c r="O270" s="349"/>
      <c r="P270" s="349"/>
      <c r="Q270" s="349"/>
      <c r="R270" s="349"/>
      <c r="S270" s="349"/>
      <c r="T270" s="349"/>
      <c r="U270" s="349"/>
      <c r="V270" s="349"/>
      <c r="W270" s="349"/>
      <c r="X270" s="349"/>
      <c r="Y270" s="349"/>
      <c r="Z270" s="349"/>
      <c r="AA270" s="349"/>
      <c r="AB270" s="349"/>
      <c r="AC270" s="349"/>
      <c r="AD270" s="349"/>
      <c r="AE270" s="349"/>
      <c r="AF270" s="349"/>
      <c r="AG270" s="349"/>
      <c r="AH270" s="349"/>
      <c r="AI270" s="349"/>
      <c r="AJ270" s="349"/>
      <c r="AK270" s="349"/>
      <c r="AL270" s="349"/>
      <c r="AM270" s="349"/>
      <c r="AN270" s="349"/>
      <c r="AO270" s="349"/>
      <c r="AP270" s="349"/>
      <c r="AQ270" s="349"/>
      <c r="AR270" s="349"/>
      <c r="AS270" s="349"/>
      <c r="AT270" s="349"/>
      <c r="AU270" s="349"/>
      <c r="AV270" s="349"/>
      <c r="AW270" s="349"/>
      <c r="AX270" s="349"/>
      <c r="AY270" s="349"/>
      <c r="AZ270" s="349"/>
      <c r="BA270" s="349"/>
      <c r="BB270" s="349"/>
      <c r="BC270" s="349"/>
      <c r="BD270" s="349"/>
      <c r="BE270" s="349"/>
      <c r="BF270" s="349"/>
      <c r="BG270" s="349"/>
      <c r="BH270" s="349"/>
      <c r="BI270" s="349"/>
      <c r="BJ270" s="349"/>
      <c r="BK270" s="349"/>
      <c r="BL270" s="349"/>
      <c r="BM270" s="349"/>
      <c r="BN270" s="349"/>
      <c r="BO270" s="349"/>
      <c r="BP270" s="349"/>
      <c r="BQ270" s="349"/>
      <c r="BR270" s="349"/>
      <c r="BS270" s="349"/>
    </row>
    <row r="271" spans="1:71" x14ac:dyDescent="0.3">
      <c r="A271" s="349"/>
      <c r="B271" s="349"/>
      <c r="C271" s="349"/>
      <c r="D271" s="349"/>
      <c r="E271" s="349"/>
      <c r="F271" s="349"/>
      <c r="G271" s="349"/>
      <c r="H271" s="349"/>
      <c r="I271" s="349"/>
      <c r="J271" s="349"/>
      <c r="K271" s="349"/>
      <c r="L271" s="349"/>
      <c r="M271" s="349"/>
      <c r="N271" s="349"/>
      <c r="O271" s="349"/>
      <c r="P271" s="349"/>
      <c r="Q271" s="349"/>
      <c r="R271" s="349"/>
      <c r="S271" s="349"/>
      <c r="T271" s="349"/>
      <c r="U271" s="349"/>
      <c r="V271" s="349"/>
      <c r="W271" s="349"/>
      <c r="X271" s="349"/>
      <c r="Y271" s="349"/>
      <c r="Z271" s="349"/>
      <c r="AA271" s="349"/>
      <c r="AB271" s="349"/>
      <c r="AC271" s="349"/>
      <c r="AD271" s="349"/>
      <c r="AE271" s="349"/>
      <c r="AF271" s="349"/>
      <c r="AG271" s="349"/>
      <c r="AH271" s="349"/>
      <c r="AI271" s="349"/>
      <c r="AJ271" s="349"/>
      <c r="AK271" s="349"/>
      <c r="AL271" s="349"/>
      <c r="AM271" s="349"/>
      <c r="AN271" s="349"/>
      <c r="AO271" s="349"/>
      <c r="AP271" s="349"/>
      <c r="AQ271" s="349"/>
      <c r="AR271" s="349"/>
      <c r="AS271" s="349"/>
      <c r="AT271" s="349"/>
      <c r="AU271" s="349"/>
      <c r="AV271" s="349"/>
      <c r="AW271" s="349"/>
      <c r="AX271" s="349"/>
      <c r="AY271" s="349"/>
      <c r="AZ271" s="349"/>
      <c r="BA271" s="349"/>
      <c r="BB271" s="349"/>
      <c r="BC271" s="349"/>
      <c r="BD271" s="349"/>
      <c r="BE271" s="349"/>
      <c r="BF271" s="349"/>
      <c r="BG271" s="349"/>
      <c r="BH271" s="349"/>
      <c r="BI271" s="349"/>
      <c r="BJ271" s="349"/>
      <c r="BK271" s="349"/>
      <c r="BL271" s="349"/>
      <c r="BM271" s="349"/>
      <c r="BN271" s="349"/>
      <c r="BO271" s="349"/>
      <c r="BP271" s="349"/>
      <c r="BQ271" s="349"/>
      <c r="BR271" s="349"/>
      <c r="BS271" s="349"/>
    </row>
    <row r="272" spans="1:71" x14ac:dyDescent="0.3">
      <c r="A272" s="349"/>
      <c r="B272" s="349"/>
      <c r="C272" s="349"/>
      <c r="D272" s="349"/>
      <c r="E272" s="349"/>
      <c r="F272" s="349"/>
      <c r="G272" s="349"/>
      <c r="H272" s="349"/>
      <c r="I272" s="349"/>
      <c r="J272" s="349"/>
      <c r="K272" s="349"/>
      <c r="L272" s="349"/>
      <c r="M272" s="349"/>
      <c r="N272" s="349"/>
      <c r="O272" s="349"/>
      <c r="P272" s="349"/>
      <c r="Q272" s="349"/>
      <c r="R272" s="349"/>
      <c r="S272" s="349"/>
      <c r="T272" s="349"/>
      <c r="U272" s="349"/>
      <c r="V272" s="349"/>
      <c r="W272" s="349"/>
      <c r="X272" s="349"/>
      <c r="Y272" s="349"/>
      <c r="Z272" s="349"/>
      <c r="AA272" s="349"/>
      <c r="AB272" s="349"/>
      <c r="AC272" s="349"/>
      <c r="AD272" s="349"/>
      <c r="AE272" s="349"/>
      <c r="AF272" s="349"/>
      <c r="AG272" s="349"/>
      <c r="AH272" s="349"/>
      <c r="AI272" s="349"/>
      <c r="AJ272" s="349"/>
      <c r="AK272" s="349"/>
      <c r="AL272" s="349"/>
      <c r="AM272" s="349"/>
      <c r="AN272" s="349"/>
      <c r="AO272" s="349"/>
      <c r="AP272" s="349"/>
      <c r="AQ272" s="349"/>
      <c r="AR272" s="349"/>
      <c r="AS272" s="349"/>
      <c r="AT272" s="349"/>
      <c r="AU272" s="349"/>
      <c r="AV272" s="349"/>
      <c r="AW272" s="349"/>
      <c r="AX272" s="349"/>
      <c r="AY272" s="349"/>
      <c r="AZ272" s="349"/>
      <c r="BA272" s="349"/>
      <c r="BB272" s="349"/>
      <c r="BC272" s="349"/>
      <c r="BD272" s="349"/>
      <c r="BE272" s="349"/>
      <c r="BF272" s="349"/>
      <c r="BG272" s="349"/>
      <c r="BH272" s="349"/>
      <c r="BI272" s="349"/>
      <c r="BJ272" s="349"/>
      <c r="BK272" s="349"/>
      <c r="BL272" s="349"/>
      <c r="BM272" s="349"/>
      <c r="BN272" s="349"/>
      <c r="BO272" s="349"/>
      <c r="BP272" s="349"/>
      <c r="BQ272" s="349"/>
      <c r="BR272" s="349"/>
      <c r="BS272" s="349"/>
    </row>
    <row r="273" spans="1:71" x14ac:dyDescent="0.3">
      <c r="A273" s="349"/>
      <c r="B273" s="349"/>
      <c r="C273" s="349"/>
      <c r="D273" s="349"/>
      <c r="E273" s="349"/>
      <c r="F273" s="349"/>
      <c r="G273" s="349"/>
      <c r="H273" s="349"/>
      <c r="I273" s="349"/>
      <c r="J273" s="349"/>
      <c r="K273" s="349"/>
      <c r="L273" s="349"/>
      <c r="M273" s="349"/>
      <c r="N273" s="349"/>
      <c r="O273" s="349"/>
      <c r="P273" s="349"/>
      <c r="Q273" s="349"/>
      <c r="R273" s="349"/>
      <c r="S273" s="349"/>
      <c r="T273" s="349"/>
      <c r="U273" s="349"/>
      <c r="V273" s="349"/>
      <c r="W273" s="349"/>
      <c r="X273" s="349"/>
      <c r="Y273" s="349"/>
      <c r="Z273" s="349"/>
      <c r="AA273" s="349"/>
      <c r="AB273" s="349"/>
      <c r="AC273" s="349"/>
      <c r="AD273" s="349"/>
      <c r="AE273" s="349"/>
      <c r="AF273" s="349"/>
      <c r="AG273" s="349"/>
      <c r="AH273" s="349"/>
      <c r="AI273" s="349"/>
      <c r="AJ273" s="349"/>
      <c r="AK273" s="349"/>
      <c r="AL273" s="349"/>
      <c r="AM273" s="349"/>
      <c r="AN273" s="349"/>
      <c r="AO273" s="349"/>
      <c r="AP273" s="349"/>
      <c r="AQ273" s="349"/>
      <c r="AR273" s="349"/>
      <c r="AS273" s="349"/>
      <c r="AT273" s="349"/>
      <c r="AU273" s="349"/>
      <c r="AV273" s="349"/>
      <c r="AW273" s="349"/>
      <c r="AX273" s="349"/>
      <c r="AY273" s="349"/>
      <c r="AZ273" s="349"/>
      <c r="BA273" s="349"/>
      <c r="BB273" s="349"/>
      <c r="BC273" s="349"/>
      <c r="BD273" s="349"/>
      <c r="BE273" s="349"/>
      <c r="BF273" s="349"/>
      <c r="BG273" s="349"/>
      <c r="BH273" s="349"/>
      <c r="BI273" s="349"/>
      <c r="BJ273" s="349"/>
      <c r="BK273" s="349"/>
      <c r="BL273" s="349"/>
      <c r="BM273" s="349"/>
      <c r="BN273" s="349"/>
      <c r="BO273" s="349"/>
      <c r="BP273" s="349"/>
      <c r="BQ273" s="349"/>
      <c r="BR273" s="349"/>
      <c r="BS273" s="349"/>
    </row>
    <row r="274" spans="1:71" x14ac:dyDescent="0.3">
      <c r="A274" s="349"/>
      <c r="B274" s="349"/>
      <c r="C274" s="349"/>
      <c r="D274" s="349"/>
      <c r="E274" s="349"/>
      <c r="F274" s="349"/>
      <c r="G274" s="349"/>
      <c r="H274" s="349"/>
      <c r="I274" s="349"/>
      <c r="J274" s="349"/>
      <c r="K274" s="349"/>
      <c r="L274" s="349"/>
      <c r="M274" s="349"/>
      <c r="N274" s="349"/>
      <c r="O274" s="349"/>
      <c r="P274" s="349"/>
      <c r="Q274" s="349"/>
      <c r="R274" s="349"/>
      <c r="S274" s="349"/>
      <c r="T274" s="349"/>
      <c r="U274" s="349"/>
      <c r="V274" s="349"/>
      <c r="W274" s="349"/>
      <c r="X274" s="349"/>
      <c r="Y274" s="349"/>
      <c r="Z274" s="349"/>
      <c r="AA274" s="349"/>
      <c r="AB274" s="349"/>
      <c r="AC274" s="349"/>
      <c r="AD274" s="349"/>
      <c r="AE274" s="349"/>
      <c r="AF274" s="349"/>
      <c r="AG274" s="349"/>
      <c r="AH274" s="349"/>
      <c r="AI274" s="349"/>
      <c r="AJ274" s="349"/>
      <c r="AK274" s="349"/>
      <c r="AL274" s="349"/>
      <c r="AM274" s="349"/>
      <c r="AN274" s="349"/>
      <c r="AO274" s="349"/>
      <c r="AP274" s="349"/>
      <c r="AQ274" s="349"/>
      <c r="AR274" s="349"/>
      <c r="AS274" s="349"/>
      <c r="AT274" s="349"/>
      <c r="AU274" s="349"/>
      <c r="AV274" s="349"/>
      <c r="AW274" s="349"/>
      <c r="AX274" s="349"/>
      <c r="AY274" s="349"/>
      <c r="AZ274" s="349"/>
      <c r="BA274" s="349"/>
      <c r="BB274" s="349"/>
      <c r="BC274" s="349"/>
      <c r="BD274" s="349"/>
      <c r="BE274" s="349"/>
      <c r="BF274" s="349"/>
      <c r="BG274" s="349"/>
      <c r="BH274" s="349"/>
      <c r="BI274" s="349"/>
      <c r="BJ274" s="349"/>
      <c r="BK274" s="349"/>
      <c r="BL274" s="349"/>
      <c r="BM274" s="349"/>
      <c r="BN274" s="349"/>
      <c r="BO274" s="349"/>
      <c r="BP274" s="349"/>
      <c r="BQ274" s="349"/>
      <c r="BR274" s="349"/>
      <c r="BS274" s="349"/>
    </row>
    <row r="275" spans="1:71" x14ac:dyDescent="0.3">
      <c r="A275" s="349"/>
      <c r="B275" s="349"/>
      <c r="C275" s="349"/>
      <c r="D275" s="349"/>
      <c r="E275" s="349"/>
      <c r="F275" s="349"/>
      <c r="G275" s="349"/>
      <c r="H275" s="349"/>
      <c r="I275" s="349"/>
      <c r="J275" s="349"/>
      <c r="K275" s="349"/>
      <c r="L275" s="349"/>
      <c r="M275" s="349"/>
      <c r="N275" s="349"/>
      <c r="O275" s="349"/>
      <c r="P275" s="349"/>
      <c r="Q275" s="349"/>
      <c r="R275" s="349"/>
      <c r="S275" s="349"/>
      <c r="T275" s="349"/>
      <c r="U275" s="349"/>
      <c r="V275" s="349"/>
      <c r="W275" s="349"/>
      <c r="X275" s="349"/>
      <c r="Y275" s="349"/>
      <c r="Z275" s="349"/>
      <c r="AA275" s="349"/>
      <c r="AB275" s="349"/>
      <c r="AC275" s="349"/>
      <c r="AD275" s="349"/>
      <c r="AE275" s="349"/>
      <c r="AF275" s="349"/>
      <c r="AG275" s="349"/>
      <c r="AH275" s="349"/>
      <c r="AI275" s="349"/>
      <c r="AJ275" s="349"/>
      <c r="AK275" s="349"/>
      <c r="AL275" s="349"/>
      <c r="AM275" s="349"/>
      <c r="AN275" s="349"/>
      <c r="AO275" s="349"/>
      <c r="AP275" s="349"/>
      <c r="AQ275" s="349"/>
      <c r="AR275" s="349"/>
      <c r="AS275" s="349"/>
      <c r="AT275" s="349"/>
      <c r="AU275" s="349"/>
      <c r="AV275" s="349"/>
      <c r="AW275" s="349"/>
      <c r="AX275" s="349"/>
      <c r="AY275" s="349"/>
      <c r="AZ275" s="349"/>
      <c r="BA275" s="349"/>
      <c r="BB275" s="349"/>
      <c r="BC275" s="349"/>
      <c r="BD275" s="349"/>
      <c r="BE275" s="349"/>
      <c r="BF275" s="349"/>
      <c r="BG275" s="349"/>
      <c r="BH275" s="349"/>
      <c r="BI275" s="349"/>
      <c r="BJ275" s="349"/>
      <c r="BK275" s="349"/>
      <c r="BL275" s="349"/>
      <c r="BM275" s="349"/>
      <c r="BN275" s="349"/>
      <c r="BO275" s="349"/>
      <c r="BP275" s="349"/>
      <c r="BQ275" s="349"/>
      <c r="BR275" s="349"/>
      <c r="BS275" s="349"/>
    </row>
    <row r="276" spans="1:71" x14ac:dyDescent="0.3">
      <c r="A276" s="349"/>
      <c r="B276" s="349"/>
      <c r="C276" s="349"/>
      <c r="D276" s="349"/>
      <c r="E276" s="349"/>
      <c r="F276" s="349"/>
      <c r="G276" s="349"/>
      <c r="H276" s="349"/>
      <c r="I276" s="349"/>
      <c r="J276" s="349"/>
      <c r="K276" s="349"/>
      <c r="L276" s="349"/>
      <c r="M276" s="349"/>
      <c r="N276" s="349"/>
      <c r="O276" s="349"/>
      <c r="P276" s="349"/>
      <c r="Q276" s="349"/>
      <c r="R276" s="349"/>
      <c r="S276" s="349"/>
      <c r="T276" s="349"/>
      <c r="U276" s="349"/>
      <c r="V276" s="349"/>
      <c r="W276" s="349"/>
      <c r="X276" s="349"/>
      <c r="Y276" s="349"/>
      <c r="Z276" s="349"/>
      <c r="AA276" s="349"/>
      <c r="AB276" s="349"/>
      <c r="AC276" s="349"/>
      <c r="AD276" s="349"/>
      <c r="AE276" s="349"/>
      <c r="AF276" s="349"/>
      <c r="AG276" s="349"/>
      <c r="AH276" s="349"/>
      <c r="AI276" s="349"/>
      <c r="AJ276" s="349"/>
      <c r="AK276" s="349"/>
      <c r="AL276" s="349"/>
      <c r="AM276" s="349"/>
      <c r="AN276" s="349"/>
      <c r="AO276" s="349"/>
      <c r="AP276" s="349"/>
      <c r="AQ276" s="349"/>
      <c r="AR276" s="349"/>
      <c r="AS276" s="349"/>
      <c r="AT276" s="349"/>
      <c r="AU276" s="349"/>
      <c r="AV276" s="349"/>
      <c r="AW276" s="349"/>
      <c r="AX276" s="349"/>
      <c r="AY276" s="349"/>
      <c r="AZ276" s="349"/>
      <c r="BA276" s="349"/>
      <c r="BB276" s="349"/>
      <c r="BC276" s="349"/>
      <c r="BD276" s="349"/>
      <c r="BE276" s="349"/>
      <c r="BF276" s="349"/>
      <c r="BG276" s="349"/>
      <c r="BH276" s="349"/>
      <c r="BI276" s="349"/>
      <c r="BJ276" s="349"/>
      <c r="BK276" s="349"/>
      <c r="BL276" s="349"/>
      <c r="BM276" s="349"/>
      <c r="BN276" s="349"/>
      <c r="BO276" s="349"/>
      <c r="BP276" s="349"/>
      <c r="BQ276" s="349"/>
      <c r="BR276" s="349"/>
      <c r="BS276" s="349"/>
    </row>
    <row r="277" spans="1:71" x14ac:dyDescent="0.3">
      <c r="A277" s="349"/>
      <c r="B277" s="349"/>
      <c r="C277" s="349"/>
      <c r="D277" s="349"/>
      <c r="E277" s="349"/>
      <c r="F277" s="349"/>
      <c r="G277" s="349"/>
      <c r="H277" s="349"/>
      <c r="I277" s="349"/>
      <c r="J277" s="349"/>
      <c r="K277" s="349"/>
      <c r="L277" s="349"/>
      <c r="M277" s="349"/>
      <c r="N277" s="349"/>
      <c r="O277" s="349"/>
      <c r="P277" s="349"/>
      <c r="Q277" s="349"/>
      <c r="R277" s="349"/>
      <c r="S277" s="349"/>
      <c r="T277" s="349"/>
      <c r="U277" s="349"/>
      <c r="V277" s="349"/>
      <c r="W277" s="349"/>
      <c r="X277" s="349"/>
      <c r="Y277" s="349"/>
      <c r="Z277" s="349"/>
      <c r="AA277" s="349"/>
      <c r="AB277" s="349"/>
      <c r="AC277" s="349"/>
      <c r="AD277" s="349"/>
      <c r="AE277" s="349"/>
      <c r="AF277" s="349"/>
      <c r="AG277" s="349"/>
      <c r="AH277" s="349"/>
      <c r="AI277" s="349"/>
      <c r="AJ277" s="349"/>
      <c r="AK277" s="349"/>
      <c r="AL277" s="349"/>
      <c r="AM277" s="349"/>
      <c r="AN277" s="349"/>
      <c r="AO277" s="349"/>
      <c r="AP277" s="349"/>
      <c r="AQ277" s="349"/>
      <c r="AR277" s="349"/>
      <c r="AS277" s="349"/>
      <c r="AT277" s="349"/>
      <c r="AU277" s="349"/>
      <c r="AV277" s="349"/>
      <c r="AW277" s="349"/>
      <c r="AX277" s="349"/>
      <c r="AY277" s="349"/>
      <c r="AZ277" s="349"/>
      <c r="BA277" s="349"/>
      <c r="BB277" s="349"/>
      <c r="BC277" s="349"/>
      <c r="BD277" s="349"/>
      <c r="BE277" s="349"/>
      <c r="BF277" s="349"/>
      <c r="BG277" s="349"/>
      <c r="BH277" s="349"/>
      <c r="BI277" s="349"/>
      <c r="BJ277" s="349"/>
      <c r="BK277" s="349"/>
      <c r="BL277" s="349"/>
      <c r="BM277" s="349"/>
      <c r="BN277" s="349"/>
      <c r="BO277" s="349"/>
      <c r="BP277" s="349"/>
      <c r="BQ277" s="349"/>
      <c r="BR277" s="349"/>
      <c r="BS277" s="349"/>
    </row>
    <row r="278" spans="1:71" x14ac:dyDescent="0.3">
      <c r="A278" s="349"/>
      <c r="B278" s="349"/>
      <c r="C278" s="349"/>
      <c r="D278" s="349"/>
      <c r="E278" s="349"/>
      <c r="F278" s="349"/>
      <c r="G278" s="349"/>
      <c r="H278" s="349"/>
      <c r="I278" s="349"/>
      <c r="J278" s="349"/>
      <c r="K278" s="349"/>
      <c r="L278" s="349"/>
      <c r="M278" s="349"/>
      <c r="N278" s="349"/>
      <c r="O278" s="349"/>
      <c r="P278" s="349"/>
      <c r="Q278" s="349"/>
      <c r="R278" s="349"/>
      <c r="S278" s="349"/>
      <c r="T278" s="349"/>
      <c r="U278" s="349"/>
      <c r="V278" s="349"/>
      <c r="W278" s="349"/>
      <c r="X278" s="349"/>
      <c r="Y278" s="349"/>
      <c r="Z278" s="349"/>
      <c r="AA278" s="349"/>
      <c r="AB278" s="349"/>
      <c r="AC278" s="349"/>
      <c r="AD278" s="349"/>
      <c r="AE278" s="349"/>
      <c r="AF278" s="349"/>
      <c r="AG278" s="349"/>
      <c r="AH278" s="349"/>
      <c r="AI278" s="349"/>
      <c r="AJ278" s="349"/>
      <c r="AK278" s="349"/>
      <c r="AL278" s="349"/>
      <c r="AM278" s="349"/>
      <c r="AN278" s="349"/>
      <c r="AO278" s="349"/>
      <c r="AP278" s="349"/>
      <c r="AQ278" s="349"/>
      <c r="AR278" s="349"/>
      <c r="AS278" s="349"/>
      <c r="AT278" s="349"/>
      <c r="AU278" s="349"/>
      <c r="AV278" s="349"/>
      <c r="AW278" s="349"/>
      <c r="AX278" s="349"/>
      <c r="AY278" s="349"/>
      <c r="AZ278" s="349"/>
      <c r="BA278" s="349"/>
      <c r="BB278" s="349"/>
      <c r="BC278" s="349"/>
      <c r="BD278" s="349"/>
      <c r="BE278" s="349"/>
      <c r="BF278" s="349"/>
      <c r="BG278" s="349"/>
      <c r="BH278" s="349"/>
      <c r="BI278" s="349"/>
      <c r="BJ278" s="349"/>
      <c r="BK278" s="349"/>
      <c r="BL278" s="349"/>
      <c r="BM278" s="349"/>
      <c r="BN278" s="349"/>
      <c r="BO278" s="349"/>
      <c r="BP278" s="349"/>
      <c r="BQ278" s="349"/>
      <c r="BR278" s="349"/>
      <c r="BS278" s="349"/>
    </row>
    <row r="279" spans="1:71" x14ac:dyDescent="0.3">
      <c r="A279" s="349"/>
      <c r="B279" s="349"/>
      <c r="C279" s="349"/>
      <c r="D279" s="349"/>
      <c r="E279" s="349"/>
      <c r="F279" s="349"/>
      <c r="G279" s="349"/>
      <c r="H279" s="349"/>
      <c r="I279" s="349"/>
      <c r="J279" s="349"/>
      <c r="K279" s="349"/>
      <c r="L279" s="349"/>
      <c r="M279" s="349"/>
      <c r="N279" s="349"/>
      <c r="O279" s="349"/>
      <c r="P279" s="349"/>
      <c r="Q279" s="349"/>
      <c r="R279" s="349"/>
      <c r="S279" s="349"/>
      <c r="T279" s="349"/>
      <c r="U279" s="349"/>
      <c r="V279" s="349"/>
      <c r="W279" s="349"/>
      <c r="X279" s="349"/>
      <c r="Y279" s="349"/>
      <c r="Z279" s="349"/>
      <c r="AA279" s="349"/>
      <c r="AB279" s="349"/>
      <c r="AC279" s="349"/>
      <c r="AD279" s="349"/>
      <c r="AE279" s="349"/>
      <c r="AF279" s="349"/>
      <c r="AG279" s="349"/>
      <c r="AH279" s="349"/>
      <c r="AI279" s="349"/>
      <c r="AJ279" s="349"/>
      <c r="AK279" s="349"/>
      <c r="AL279" s="349"/>
      <c r="AM279" s="349"/>
      <c r="AN279" s="349"/>
      <c r="AO279" s="349"/>
      <c r="AP279" s="349"/>
      <c r="AQ279" s="349"/>
      <c r="AR279" s="349"/>
      <c r="AS279" s="349"/>
      <c r="AT279" s="349"/>
      <c r="AU279" s="349"/>
      <c r="AV279" s="349"/>
      <c r="AW279" s="349"/>
      <c r="AX279" s="349"/>
      <c r="AY279" s="349"/>
      <c r="AZ279" s="349"/>
      <c r="BA279" s="349"/>
      <c r="BB279" s="349"/>
      <c r="BC279" s="349"/>
      <c r="BD279" s="349"/>
      <c r="BE279" s="349"/>
      <c r="BF279" s="349"/>
      <c r="BG279" s="349"/>
      <c r="BH279" s="349"/>
      <c r="BI279" s="349"/>
      <c r="BJ279" s="349"/>
      <c r="BK279" s="349"/>
      <c r="BL279" s="349"/>
      <c r="BM279" s="349"/>
      <c r="BN279" s="349"/>
      <c r="BO279" s="349"/>
      <c r="BP279" s="349"/>
      <c r="BQ279" s="349"/>
      <c r="BR279" s="349"/>
      <c r="BS279" s="349"/>
    </row>
    <row r="280" spans="1:71" x14ac:dyDescent="0.3">
      <c r="A280" s="349"/>
      <c r="B280" s="349"/>
      <c r="C280" s="349"/>
      <c r="D280" s="349"/>
      <c r="E280" s="349"/>
      <c r="F280" s="349"/>
      <c r="G280" s="349"/>
      <c r="H280" s="349"/>
      <c r="I280" s="349"/>
      <c r="J280" s="349"/>
      <c r="K280" s="349"/>
      <c r="L280" s="349"/>
      <c r="M280" s="349"/>
      <c r="N280" s="349"/>
      <c r="O280" s="349"/>
      <c r="P280" s="349"/>
      <c r="Q280" s="349"/>
      <c r="R280" s="349"/>
      <c r="S280" s="349"/>
      <c r="T280" s="349"/>
      <c r="U280" s="349"/>
      <c r="V280" s="349"/>
      <c r="W280" s="349"/>
      <c r="X280" s="349"/>
      <c r="Y280" s="349"/>
      <c r="Z280" s="349"/>
      <c r="AA280" s="349"/>
      <c r="AB280" s="349"/>
      <c r="AC280" s="349"/>
      <c r="AD280" s="349"/>
      <c r="AE280" s="349"/>
      <c r="AF280" s="349"/>
      <c r="AG280" s="349"/>
      <c r="AH280" s="349"/>
      <c r="AI280" s="349"/>
      <c r="AJ280" s="349"/>
      <c r="AK280" s="349"/>
      <c r="AL280" s="349"/>
      <c r="AM280" s="349"/>
      <c r="AN280" s="349"/>
      <c r="AO280" s="349"/>
      <c r="AP280" s="349"/>
      <c r="AQ280" s="349"/>
      <c r="AR280" s="349"/>
      <c r="AS280" s="349"/>
      <c r="AT280" s="349"/>
      <c r="AU280" s="349"/>
      <c r="AV280" s="349"/>
      <c r="AW280" s="349"/>
      <c r="AX280" s="349"/>
      <c r="AY280" s="349"/>
      <c r="AZ280" s="349"/>
      <c r="BA280" s="349"/>
      <c r="BB280" s="349"/>
      <c r="BC280" s="349"/>
      <c r="BD280" s="349"/>
      <c r="BE280" s="349"/>
      <c r="BF280" s="349"/>
      <c r="BG280" s="349"/>
      <c r="BH280" s="349"/>
      <c r="BI280" s="349"/>
      <c r="BJ280" s="349"/>
      <c r="BK280" s="349"/>
      <c r="BL280" s="349"/>
      <c r="BM280" s="349"/>
      <c r="BN280" s="349"/>
      <c r="BO280" s="349"/>
      <c r="BP280" s="349"/>
      <c r="BQ280" s="349"/>
      <c r="BR280" s="349"/>
      <c r="BS280" s="349"/>
    </row>
    <row r="281" spans="1:71" x14ac:dyDescent="0.3">
      <c r="A281" s="349"/>
      <c r="B281" s="349"/>
      <c r="C281" s="349"/>
      <c r="D281" s="349"/>
      <c r="E281" s="349"/>
      <c r="F281" s="349"/>
      <c r="G281" s="349"/>
      <c r="H281" s="349"/>
      <c r="I281" s="349"/>
      <c r="J281" s="349"/>
      <c r="K281" s="349"/>
      <c r="L281" s="349"/>
      <c r="M281" s="349"/>
      <c r="N281" s="349"/>
      <c r="O281" s="349"/>
      <c r="P281" s="349"/>
      <c r="Q281" s="349"/>
      <c r="R281" s="349"/>
      <c r="S281" s="349"/>
      <c r="T281" s="349"/>
      <c r="U281" s="349"/>
      <c r="V281" s="349"/>
      <c r="W281" s="349"/>
      <c r="X281" s="349"/>
      <c r="Y281" s="349"/>
      <c r="Z281" s="349"/>
      <c r="AA281" s="349"/>
      <c r="AB281" s="349"/>
      <c r="AC281" s="349"/>
      <c r="AD281" s="349"/>
      <c r="AE281" s="349"/>
      <c r="AF281" s="349"/>
      <c r="AG281" s="349"/>
      <c r="AH281" s="349"/>
      <c r="AI281" s="349"/>
      <c r="AJ281" s="349"/>
      <c r="AK281" s="349"/>
      <c r="AL281" s="349"/>
      <c r="AM281" s="349"/>
      <c r="AN281" s="349"/>
      <c r="AO281" s="349"/>
      <c r="AP281" s="349"/>
      <c r="AQ281" s="349"/>
      <c r="AR281" s="349"/>
      <c r="AS281" s="349"/>
      <c r="AT281" s="349"/>
      <c r="AU281" s="349"/>
      <c r="AV281" s="349"/>
      <c r="AW281" s="349"/>
      <c r="AX281" s="349"/>
      <c r="AY281" s="349"/>
      <c r="AZ281" s="349"/>
      <c r="BA281" s="349"/>
      <c r="BB281" s="349"/>
      <c r="BC281" s="349"/>
      <c r="BD281" s="349"/>
      <c r="BE281" s="349"/>
      <c r="BF281" s="349"/>
      <c r="BG281" s="349"/>
      <c r="BH281" s="349"/>
      <c r="BI281" s="349"/>
      <c r="BJ281" s="349"/>
      <c r="BK281" s="349"/>
      <c r="BL281" s="349"/>
      <c r="BM281" s="349"/>
      <c r="BN281" s="349"/>
      <c r="BO281" s="349"/>
      <c r="BP281" s="349"/>
      <c r="BQ281" s="349"/>
      <c r="BR281" s="349"/>
      <c r="BS281" s="349"/>
    </row>
    <row r="282" spans="1:71" x14ac:dyDescent="0.3">
      <c r="A282" s="349"/>
      <c r="B282" s="349"/>
      <c r="C282" s="349"/>
      <c r="D282" s="349"/>
      <c r="E282" s="349"/>
      <c r="F282" s="349"/>
      <c r="G282" s="349"/>
      <c r="H282" s="349"/>
      <c r="I282" s="349"/>
      <c r="J282" s="349"/>
      <c r="K282" s="349"/>
      <c r="L282" s="349"/>
      <c r="M282" s="349"/>
      <c r="N282" s="349"/>
      <c r="O282" s="349"/>
      <c r="P282" s="349"/>
      <c r="Q282" s="349"/>
      <c r="R282" s="349"/>
      <c r="S282" s="349"/>
      <c r="T282" s="349"/>
      <c r="U282" s="349"/>
      <c r="V282" s="349"/>
      <c r="W282" s="349"/>
      <c r="X282" s="349"/>
      <c r="Y282" s="349"/>
      <c r="Z282" s="349"/>
      <c r="AA282" s="349"/>
      <c r="AB282" s="349"/>
      <c r="AC282" s="349"/>
      <c r="AD282" s="349"/>
      <c r="AE282" s="349"/>
      <c r="AF282" s="349"/>
      <c r="AG282" s="349"/>
      <c r="AH282" s="349"/>
      <c r="AI282" s="349"/>
      <c r="AJ282" s="349"/>
      <c r="AK282" s="349"/>
      <c r="AL282" s="349"/>
      <c r="AM282" s="349"/>
      <c r="AN282" s="349"/>
      <c r="AO282" s="349"/>
      <c r="AP282" s="349"/>
      <c r="AQ282" s="349"/>
      <c r="AR282" s="349"/>
      <c r="AS282" s="349"/>
      <c r="AT282" s="349"/>
      <c r="AU282" s="349"/>
      <c r="AV282" s="349"/>
      <c r="AW282" s="349"/>
      <c r="AX282" s="349"/>
      <c r="AY282" s="349"/>
      <c r="AZ282" s="349"/>
      <c r="BA282" s="349"/>
      <c r="BB282" s="349"/>
      <c r="BC282" s="349"/>
      <c r="BD282" s="349"/>
      <c r="BE282" s="349"/>
      <c r="BF282" s="349"/>
      <c r="BG282" s="349"/>
      <c r="BH282" s="349"/>
      <c r="BI282" s="349"/>
      <c r="BJ282" s="349"/>
      <c r="BK282" s="349"/>
      <c r="BL282" s="349"/>
      <c r="BM282" s="349"/>
      <c r="BN282" s="349"/>
      <c r="BO282" s="349"/>
      <c r="BP282" s="349"/>
      <c r="BQ282" s="349"/>
      <c r="BR282" s="349"/>
      <c r="BS282" s="349"/>
    </row>
    <row r="283" spans="1:71" x14ac:dyDescent="0.3">
      <c r="A283" s="349"/>
      <c r="B283" s="349"/>
      <c r="C283" s="349"/>
      <c r="D283" s="349"/>
      <c r="E283" s="349"/>
      <c r="F283" s="349"/>
      <c r="G283" s="349"/>
      <c r="H283" s="349"/>
      <c r="I283" s="349"/>
      <c r="J283" s="349"/>
      <c r="K283" s="349"/>
      <c r="L283" s="349"/>
      <c r="M283" s="349"/>
      <c r="N283" s="349"/>
      <c r="O283" s="349"/>
      <c r="P283" s="349"/>
      <c r="Q283" s="349"/>
      <c r="R283" s="349"/>
      <c r="S283" s="349"/>
      <c r="T283" s="349"/>
      <c r="U283" s="349"/>
      <c r="V283" s="349"/>
      <c r="W283" s="349"/>
      <c r="X283" s="349"/>
      <c r="Y283" s="349"/>
      <c r="Z283" s="349"/>
      <c r="AA283" s="349"/>
      <c r="AB283" s="349"/>
      <c r="AC283" s="349"/>
      <c r="AD283" s="349"/>
      <c r="AE283" s="349"/>
      <c r="AF283" s="349"/>
      <c r="AG283" s="349"/>
      <c r="AH283" s="349"/>
      <c r="AI283" s="349"/>
      <c r="AJ283" s="349"/>
      <c r="AK283" s="349"/>
      <c r="AL283" s="349"/>
      <c r="AM283" s="349"/>
      <c r="AN283" s="349"/>
      <c r="AO283" s="349"/>
      <c r="AP283" s="349"/>
      <c r="AQ283" s="349"/>
      <c r="AR283" s="349"/>
      <c r="AS283" s="349"/>
      <c r="AT283" s="349"/>
      <c r="AU283" s="349"/>
      <c r="AV283" s="349"/>
      <c r="AW283" s="349"/>
      <c r="AX283" s="349"/>
      <c r="AY283" s="349"/>
      <c r="AZ283" s="349"/>
      <c r="BA283" s="349"/>
      <c r="BB283" s="349"/>
      <c r="BC283" s="349"/>
      <c r="BD283" s="349"/>
      <c r="BE283" s="349"/>
      <c r="BF283" s="349"/>
      <c r="BG283" s="349"/>
      <c r="BH283" s="349"/>
      <c r="BI283" s="349"/>
      <c r="BJ283" s="349"/>
      <c r="BK283" s="349"/>
      <c r="BL283" s="349"/>
      <c r="BM283" s="349"/>
      <c r="BN283" s="349"/>
      <c r="BO283" s="349"/>
      <c r="BP283" s="349"/>
      <c r="BQ283" s="349"/>
      <c r="BR283" s="349"/>
      <c r="BS283" s="349"/>
    </row>
    <row r="284" spans="1:71" x14ac:dyDescent="0.3">
      <c r="A284" s="349"/>
      <c r="B284" s="349"/>
      <c r="C284" s="349"/>
      <c r="D284" s="349"/>
      <c r="E284" s="349"/>
      <c r="F284" s="349"/>
      <c r="G284" s="349"/>
      <c r="H284" s="349"/>
      <c r="I284" s="349"/>
      <c r="J284" s="349"/>
      <c r="K284" s="349"/>
      <c r="L284" s="349"/>
      <c r="M284" s="349"/>
      <c r="N284" s="349"/>
      <c r="O284" s="349"/>
      <c r="P284" s="349"/>
      <c r="Q284" s="349"/>
      <c r="R284" s="349"/>
      <c r="S284" s="349"/>
      <c r="T284" s="349"/>
      <c r="U284" s="349"/>
      <c r="V284" s="349"/>
      <c r="W284" s="349"/>
      <c r="X284" s="349"/>
      <c r="Y284" s="349"/>
      <c r="Z284" s="349"/>
      <c r="AA284" s="349"/>
      <c r="AB284" s="349"/>
      <c r="AC284" s="349"/>
      <c r="AD284" s="349"/>
      <c r="AE284" s="349"/>
      <c r="AF284" s="349"/>
      <c r="AG284" s="349"/>
      <c r="AH284" s="349"/>
      <c r="AI284" s="349"/>
      <c r="AJ284" s="349"/>
      <c r="AK284" s="349"/>
      <c r="AL284" s="349"/>
      <c r="AM284" s="349"/>
      <c r="AN284" s="349"/>
      <c r="AO284" s="349"/>
      <c r="AP284" s="349"/>
      <c r="AQ284" s="349"/>
      <c r="AR284" s="349"/>
      <c r="AS284" s="349"/>
      <c r="AT284" s="349"/>
      <c r="AU284" s="349"/>
      <c r="AV284" s="349"/>
      <c r="AW284" s="349"/>
      <c r="AX284" s="349"/>
      <c r="AY284" s="349"/>
      <c r="AZ284" s="349"/>
      <c r="BA284" s="349"/>
      <c r="BB284" s="349"/>
      <c r="BC284" s="349"/>
      <c r="BD284" s="349"/>
      <c r="BE284" s="349"/>
      <c r="BF284" s="349"/>
      <c r="BG284" s="349"/>
      <c r="BH284" s="349"/>
      <c r="BI284" s="349"/>
      <c r="BJ284" s="349"/>
      <c r="BK284" s="349"/>
      <c r="BL284" s="349"/>
      <c r="BM284" s="349"/>
      <c r="BN284" s="349"/>
      <c r="BO284" s="349"/>
      <c r="BP284" s="349"/>
      <c r="BQ284" s="349"/>
      <c r="BR284" s="349"/>
      <c r="BS284" s="349"/>
    </row>
    <row r="285" spans="1:71" x14ac:dyDescent="0.3">
      <c r="A285" s="349"/>
      <c r="B285" s="349"/>
      <c r="C285" s="349"/>
      <c r="D285" s="349"/>
      <c r="E285" s="349"/>
      <c r="F285" s="349"/>
      <c r="G285" s="349"/>
      <c r="H285" s="349"/>
      <c r="I285" s="349"/>
      <c r="J285" s="349"/>
      <c r="K285" s="349"/>
      <c r="L285" s="349"/>
      <c r="M285" s="349"/>
      <c r="N285" s="349"/>
      <c r="O285" s="349"/>
      <c r="P285" s="349"/>
      <c r="Q285" s="349"/>
      <c r="R285" s="349"/>
      <c r="S285" s="349"/>
      <c r="T285" s="349"/>
      <c r="U285" s="349"/>
      <c r="V285" s="349"/>
      <c r="W285" s="349"/>
      <c r="X285" s="349"/>
      <c r="Y285" s="349"/>
      <c r="Z285" s="349"/>
      <c r="AA285" s="349"/>
      <c r="AB285" s="349"/>
      <c r="AC285" s="349"/>
      <c r="AD285" s="349"/>
      <c r="AE285" s="349"/>
      <c r="AF285" s="349"/>
      <c r="AG285" s="349"/>
      <c r="AH285" s="349"/>
      <c r="AI285" s="349"/>
      <c r="AJ285" s="349"/>
      <c r="AK285" s="349"/>
      <c r="AL285" s="349"/>
      <c r="AM285" s="349"/>
      <c r="AN285" s="349"/>
      <c r="AO285" s="349"/>
      <c r="AP285" s="349"/>
      <c r="AQ285" s="349"/>
      <c r="AR285" s="349"/>
      <c r="AS285" s="349"/>
      <c r="AT285" s="349"/>
      <c r="AU285" s="349"/>
      <c r="AV285" s="349"/>
      <c r="AW285" s="349"/>
      <c r="AX285" s="349"/>
      <c r="AY285" s="349"/>
      <c r="AZ285" s="349"/>
      <c r="BA285" s="349"/>
      <c r="BB285" s="349"/>
      <c r="BC285" s="349"/>
      <c r="BD285" s="349"/>
      <c r="BE285" s="349"/>
      <c r="BF285" s="349"/>
      <c r="BG285" s="349"/>
      <c r="BH285" s="349"/>
      <c r="BI285" s="349"/>
      <c r="BJ285" s="349"/>
      <c r="BK285" s="349"/>
      <c r="BL285" s="349"/>
      <c r="BM285" s="349"/>
      <c r="BN285" s="349"/>
      <c r="BO285" s="349"/>
      <c r="BP285" s="349"/>
      <c r="BQ285" s="349"/>
      <c r="BR285" s="349"/>
      <c r="BS285" s="349"/>
    </row>
    <row r="286" spans="1:71" x14ac:dyDescent="0.3">
      <c r="A286" s="349"/>
      <c r="B286" s="349"/>
      <c r="C286" s="349"/>
      <c r="D286" s="349"/>
      <c r="E286" s="349"/>
      <c r="F286" s="349"/>
      <c r="G286" s="349"/>
      <c r="H286" s="349"/>
      <c r="I286" s="349"/>
      <c r="J286" s="349"/>
      <c r="K286" s="349"/>
      <c r="L286" s="349"/>
      <c r="M286" s="349"/>
      <c r="N286" s="349"/>
      <c r="O286" s="349"/>
      <c r="P286" s="349"/>
      <c r="Q286" s="349"/>
      <c r="R286" s="349"/>
      <c r="S286" s="349"/>
      <c r="T286" s="349"/>
      <c r="U286" s="349"/>
      <c r="V286" s="349"/>
      <c r="W286" s="349"/>
      <c r="X286" s="349"/>
      <c r="Y286" s="349"/>
      <c r="Z286" s="349"/>
      <c r="AA286" s="349"/>
      <c r="AB286" s="349"/>
      <c r="AC286" s="349"/>
      <c r="AD286" s="349"/>
      <c r="AE286" s="349"/>
      <c r="AF286" s="349"/>
      <c r="AG286" s="349"/>
      <c r="AH286" s="349"/>
      <c r="AI286" s="349"/>
      <c r="AJ286" s="349"/>
      <c r="AK286" s="349"/>
      <c r="AL286" s="349"/>
      <c r="AM286" s="349"/>
      <c r="AN286" s="349"/>
      <c r="AO286" s="349"/>
      <c r="AP286" s="349"/>
      <c r="AQ286" s="349"/>
      <c r="AR286" s="349"/>
      <c r="AS286" s="349"/>
      <c r="AT286" s="349"/>
      <c r="AU286" s="349"/>
      <c r="AV286" s="349"/>
      <c r="AW286" s="349"/>
      <c r="AX286" s="349"/>
      <c r="AY286" s="349"/>
      <c r="AZ286" s="349"/>
      <c r="BA286" s="349"/>
      <c r="BB286" s="349"/>
      <c r="BC286" s="349"/>
      <c r="BD286" s="349"/>
      <c r="BE286" s="349"/>
      <c r="BF286" s="349"/>
      <c r="BG286" s="349"/>
      <c r="BH286" s="349"/>
      <c r="BI286" s="349"/>
      <c r="BJ286" s="349"/>
      <c r="BK286" s="349"/>
      <c r="BL286" s="349"/>
      <c r="BM286" s="349"/>
      <c r="BN286" s="349"/>
      <c r="BO286" s="349"/>
      <c r="BP286" s="349"/>
      <c r="BQ286" s="349"/>
      <c r="BR286" s="349"/>
      <c r="BS286" s="349"/>
    </row>
    <row r="287" spans="1:71" x14ac:dyDescent="0.3">
      <c r="A287" s="349"/>
      <c r="B287" s="349"/>
      <c r="C287" s="349"/>
      <c r="D287" s="349"/>
      <c r="E287" s="349"/>
      <c r="F287" s="349"/>
      <c r="G287" s="349"/>
      <c r="H287" s="349"/>
      <c r="I287" s="349"/>
      <c r="J287" s="349"/>
      <c r="K287" s="349"/>
      <c r="L287" s="349"/>
      <c r="M287" s="349"/>
      <c r="N287" s="349"/>
      <c r="O287" s="349"/>
      <c r="P287" s="349"/>
      <c r="Q287" s="349"/>
      <c r="R287" s="349"/>
      <c r="S287" s="349"/>
      <c r="T287" s="349"/>
      <c r="U287" s="349"/>
      <c r="V287" s="349"/>
      <c r="W287" s="349"/>
      <c r="X287" s="349"/>
      <c r="Y287" s="349"/>
      <c r="Z287" s="349"/>
      <c r="AA287" s="349"/>
      <c r="AB287" s="349"/>
      <c r="AC287" s="349"/>
      <c r="AD287" s="349"/>
      <c r="AE287" s="349"/>
      <c r="AF287" s="349"/>
      <c r="AG287" s="349"/>
      <c r="AH287" s="349"/>
      <c r="AI287" s="349"/>
      <c r="AJ287" s="349"/>
      <c r="AK287" s="349"/>
      <c r="AL287" s="349"/>
      <c r="AM287" s="349"/>
      <c r="AN287" s="349"/>
      <c r="AO287" s="349"/>
      <c r="AP287" s="349"/>
      <c r="AQ287" s="349"/>
      <c r="AR287" s="349"/>
      <c r="AS287" s="349"/>
      <c r="AT287" s="349"/>
      <c r="AU287" s="349"/>
      <c r="AV287" s="349"/>
      <c r="AW287" s="349"/>
      <c r="AX287" s="349"/>
      <c r="AY287" s="349"/>
      <c r="AZ287" s="349"/>
      <c r="BA287" s="349"/>
      <c r="BB287" s="349"/>
      <c r="BC287" s="349"/>
      <c r="BD287" s="349"/>
      <c r="BE287" s="349"/>
      <c r="BF287" s="349"/>
      <c r="BG287" s="349"/>
      <c r="BH287" s="349"/>
      <c r="BI287" s="349"/>
      <c r="BJ287" s="349"/>
      <c r="BK287" s="349"/>
      <c r="BL287" s="349"/>
      <c r="BM287" s="349"/>
      <c r="BN287" s="349"/>
      <c r="BO287" s="349"/>
      <c r="BP287" s="349"/>
      <c r="BQ287" s="349"/>
      <c r="BR287" s="349"/>
      <c r="BS287" s="349"/>
    </row>
    <row r="288" spans="1:71" x14ac:dyDescent="0.3">
      <c r="A288" s="349"/>
      <c r="B288" s="349"/>
      <c r="C288" s="349"/>
      <c r="D288" s="349"/>
      <c r="E288" s="349"/>
      <c r="F288" s="349"/>
      <c r="G288" s="349"/>
      <c r="H288" s="349"/>
      <c r="I288" s="349"/>
      <c r="J288" s="349"/>
      <c r="K288" s="349"/>
      <c r="L288" s="349"/>
      <c r="M288" s="349"/>
      <c r="N288" s="349"/>
      <c r="O288" s="349"/>
      <c r="P288" s="349"/>
      <c r="Q288" s="349"/>
      <c r="R288" s="349"/>
      <c r="S288" s="349"/>
      <c r="T288" s="349"/>
      <c r="U288" s="349"/>
      <c r="V288" s="349"/>
      <c r="W288" s="349"/>
      <c r="X288" s="349"/>
      <c r="Y288" s="349"/>
      <c r="Z288" s="349"/>
      <c r="AA288" s="349"/>
      <c r="AB288" s="349"/>
      <c r="AC288" s="349"/>
      <c r="AD288" s="349"/>
      <c r="AE288" s="349"/>
      <c r="AF288" s="349"/>
      <c r="AG288" s="349"/>
      <c r="AH288" s="349"/>
      <c r="AI288" s="349"/>
      <c r="AJ288" s="349"/>
      <c r="AK288" s="349"/>
      <c r="AL288" s="349"/>
      <c r="AM288" s="349"/>
      <c r="AN288" s="349"/>
      <c r="AO288" s="349"/>
      <c r="AP288" s="349"/>
      <c r="AQ288" s="349"/>
      <c r="AR288" s="349"/>
      <c r="AS288" s="349"/>
      <c r="AT288" s="349"/>
      <c r="AU288" s="349"/>
      <c r="AV288" s="349"/>
      <c r="AW288" s="349"/>
      <c r="AX288" s="349"/>
      <c r="AY288" s="349"/>
      <c r="AZ288" s="349"/>
      <c r="BA288" s="349"/>
      <c r="BB288" s="349"/>
      <c r="BC288" s="349"/>
      <c r="BD288" s="349"/>
      <c r="BE288" s="349"/>
      <c r="BF288" s="349"/>
      <c r="BG288" s="349"/>
      <c r="BH288" s="349"/>
      <c r="BI288" s="349"/>
      <c r="BJ288" s="349"/>
      <c r="BK288" s="349"/>
      <c r="BL288" s="349"/>
      <c r="BM288" s="349"/>
      <c r="BN288" s="349"/>
      <c r="BO288" s="349"/>
      <c r="BP288" s="349"/>
      <c r="BQ288" s="349"/>
      <c r="BR288" s="349"/>
      <c r="BS288" s="349"/>
    </row>
    <row r="289" spans="1:71" x14ac:dyDescent="0.3">
      <c r="A289" s="349"/>
      <c r="B289" s="349"/>
      <c r="C289" s="349"/>
      <c r="D289" s="349"/>
      <c r="E289" s="349"/>
      <c r="F289" s="349"/>
      <c r="G289" s="349"/>
      <c r="H289" s="349"/>
      <c r="I289" s="349"/>
      <c r="J289" s="349"/>
      <c r="K289" s="349"/>
      <c r="L289" s="349"/>
      <c r="M289" s="349"/>
      <c r="N289" s="349"/>
      <c r="O289" s="349"/>
      <c r="P289" s="349"/>
      <c r="Q289" s="349"/>
      <c r="R289" s="349"/>
      <c r="S289" s="349"/>
      <c r="T289" s="349"/>
      <c r="U289" s="349"/>
      <c r="V289" s="349"/>
      <c r="W289" s="349"/>
      <c r="X289" s="349"/>
      <c r="Y289" s="349"/>
      <c r="Z289" s="349"/>
      <c r="AA289" s="349"/>
      <c r="AB289" s="349"/>
      <c r="AC289" s="349"/>
      <c r="AD289" s="349"/>
      <c r="AE289" s="349"/>
      <c r="AF289" s="349"/>
      <c r="AG289" s="349"/>
      <c r="AH289" s="349"/>
      <c r="AI289" s="349"/>
      <c r="AJ289" s="349"/>
      <c r="AK289" s="349"/>
      <c r="AL289" s="349"/>
      <c r="AM289" s="349"/>
      <c r="AN289" s="349"/>
      <c r="AO289" s="349"/>
      <c r="AP289" s="349"/>
      <c r="AQ289" s="349"/>
      <c r="AR289" s="349"/>
      <c r="AS289" s="349"/>
      <c r="AT289" s="349"/>
      <c r="AU289" s="349"/>
      <c r="AV289" s="349"/>
      <c r="AW289" s="349"/>
      <c r="AX289" s="349"/>
      <c r="AY289" s="349"/>
      <c r="AZ289" s="349"/>
      <c r="BA289" s="349"/>
      <c r="BB289" s="349"/>
      <c r="BC289" s="349"/>
      <c r="BD289" s="349"/>
      <c r="BE289" s="349"/>
      <c r="BF289" s="349"/>
      <c r="BG289" s="349"/>
      <c r="BH289" s="349"/>
      <c r="BI289" s="349"/>
      <c r="BJ289" s="349"/>
      <c r="BK289" s="349"/>
      <c r="BL289" s="349"/>
      <c r="BM289" s="349"/>
      <c r="BN289" s="349"/>
      <c r="BO289" s="349"/>
      <c r="BP289" s="349"/>
      <c r="BQ289" s="349"/>
      <c r="BR289" s="349"/>
      <c r="BS289" s="349"/>
    </row>
    <row r="290" spans="1:71" x14ac:dyDescent="0.3">
      <c r="A290" s="349"/>
      <c r="B290" s="349"/>
      <c r="C290" s="349"/>
      <c r="D290" s="349"/>
      <c r="E290" s="349"/>
      <c r="F290" s="349"/>
      <c r="G290" s="349"/>
      <c r="H290" s="349"/>
      <c r="I290" s="349"/>
      <c r="J290" s="349"/>
      <c r="K290" s="349"/>
      <c r="L290" s="349"/>
      <c r="M290" s="349"/>
      <c r="N290" s="349"/>
      <c r="O290" s="349"/>
      <c r="P290" s="349"/>
      <c r="Q290" s="349"/>
      <c r="R290" s="349"/>
      <c r="S290" s="349"/>
      <c r="T290" s="349"/>
      <c r="U290" s="349"/>
      <c r="V290" s="349"/>
      <c r="W290" s="349"/>
      <c r="X290" s="349"/>
      <c r="Y290" s="349"/>
      <c r="Z290" s="349"/>
      <c r="AA290" s="349"/>
      <c r="AB290" s="349"/>
      <c r="AC290" s="349"/>
      <c r="AD290" s="349"/>
      <c r="AE290" s="349"/>
      <c r="AF290" s="349"/>
      <c r="AG290" s="349"/>
      <c r="AH290" s="349"/>
      <c r="AI290" s="349"/>
      <c r="AJ290" s="349"/>
      <c r="AK290" s="349"/>
      <c r="AL290" s="349"/>
      <c r="AM290" s="349"/>
      <c r="AN290" s="349"/>
      <c r="AO290" s="349"/>
      <c r="AP290" s="349"/>
      <c r="AQ290" s="349"/>
      <c r="AR290" s="349"/>
      <c r="AS290" s="349"/>
      <c r="AT290" s="349"/>
      <c r="AU290" s="349"/>
      <c r="AV290" s="349"/>
      <c r="AW290" s="349"/>
      <c r="AX290" s="349"/>
      <c r="AY290" s="349"/>
      <c r="AZ290" s="349"/>
      <c r="BA290" s="349"/>
      <c r="BB290" s="349"/>
      <c r="BC290" s="349"/>
      <c r="BD290" s="349"/>
      <c r="BE290" s="349"/>
      <c r="BF290" s="349"/>
      <c r="BG290" s="349"/>
      <c r="BH290" s="349"/>
      <c r="BI290" s="349"/>
      <c r="BJ290" s="349"/>
      <c r="BK290" s="349"/>
      <c r="BL290" s="349"/>
      <c r="BM290" s="349"/>
      <c r="BN290" s="349"/>
      <c r="BO290" s="349"/>
      <c r="BP290" s="349"/>
      <c r="BQ290" s="349"/>
      <c r="BR290" s="349"/>
      <c r="BS290" s="349"/>
    </row>
    <row r="291" spans="1:71" x14ac:dyDescent="0.3">
      <c r="A291" s="349"/>
      <c r="B291" s="349"/>
      <c r="C291" s="349"/>
      <c r="D291" s="349"/>
      <c r="E291" s="349"/>
      <c r="F291" s="349"/>
      <c r="G291" s="349"/>
      <c r="H291" s="349"/>
      <c r="I291" s="349"/>
      <c r="J291" s="349"/>
      <c r="K291" s="349"/>
      <c r="L291" s="349"/>
      <c r="M291" s="349"/>
      <c r="N291" s="349"/>
      <c r="O291" s="349"/>
      <c r="P291" s="349"/>
      <c r="Q291" s="349"/>
      <c r="R291" s="349"/>
      <c r="S291" s="349"/>
      <c r="T291" s="349"/>
      <c r="U291" s="349"/>
      <c r="V291" s="349"/>
      <c r="W291" s="349"/>
      <c r="X291" s="349"/>
      <c r="Y291" s="349"/>
      <c r="Z291" s="349"/>
      <c r="AA291" s="349"/>
      <c r="AB291" s="349"/>
      <c r="AC291" s="349"/>
      <c r="AD291" s="349"/>
      <c r="AE291" s="349"/>
      <c r="AF291" s="349"/>
      <c r="AG291" s="349"/>
      <c r="AH291" s="349"/>
      <c r="AI291" s="349"/>
      <c r="AJ291" s="349"/>
      <c r="AK291" s="349"/>
      <c r="AL291" s="349"/>
      <c r="AM291" s="349"/>
      <c r="AN291" s="349"/>
      <c r="AO291" s="349"/>
      <c r="AP291" s="349"/>
      <c r="AQ291" s="349"/>
      <c r="AR291" s="349"/>
      <c r="AS291" s="349"/>
      <c r="AT291" s="349"/>
      <c r="AU291" s="349"/>
      <c r="AV291" s="349"/>
      <c r="AW291" s="349"/>
      <c r="AX291" s="349"/>
      <c r="AY291" s="349"/>
      <c r="AZ291" s="349"/>
      <c r="BA291" s="349"/>
      <c r="BB291" s="349"/>
      <c r="BC291" s="349"/>
      <c r="BD291" s="349"/>
      <c r="BE291" s="349"/>
      <c r="BF291" s="349"/>
      <c r="BG291" s="349"/>
      <c r="BH291" s="349"/>
      <c r="BI291" s="349"/>
      <c r="BJ291" s="349"/>
      <c r="BK291" s="349"/>
      <c r="BL291" s="349"/>
      <c r="BM291" s="349"/>
      <c r="BN291" s="349"/>
      <c r="BO291" s="349"/>
      <c r="BP291" s="349"/>
      <c r="BQ291" s="349"/>
      <c r="BR291" s="349"/>
      <c r="BS291" s="349"/>
    </row>
    <row r="292" spans="1:71" x14ac:dyDescent="0.3">
      <c r="A292" s="349"/>
      <c r="B292" s="349"/>
      <c r="C292" s="349"/>
      <c r="D292" s="349"/>
      <c r="E292" s="349"/>
      <c r="F292" s="349"/>
      <c r="G292" s="349"/>
      <c r="H292" s="349"/>
      <c r="I292" s="349"/>
      <c r="J292" s="349"/>
      <c r="K292" s="349"/>
      <c r="L292" s="349"/>
      <c r="M292" s="349"/>
      <c r="N292" s="349"/>
      <c r="O292" s="349"/>
      <c r="P292" s="349"/>
      <c r="Q292" s="349"/>
      <c r="R292" s="349"/>
      <c r="S292" s="349"/>
      <c r="T292" s="349"/>
      <c r="U292" s="349"/>
      <c r="V292" s="349"/>
      <c r="W292" s="349"/>
      <c r="X292" s="349"/>
      <c r="Y292" s="349"/>
      <c r="Z292" s="349"/>
      <c r="AA292" s="349"/>
      <c r="AB292" s="349"/>
      <c r="AC292" s="349"/>
      <c r="AD292" s="349"/>
      <c r="AE292" s="349"/>
      <c r="AF292" s="349"/>
      <c r="AG292" s="349"/>
      <c r="AH292" s="349"/>
      <c r="AI292" s="349"/>
      <c r="AJ292" s="349"/>
      <c r="AK292" s="349"/>
      <c r="AL292" s="349"/>
      <c r="AM292" s="349"/>
      <c r="AN292" s="349"/>
      <c r="AO292" s="349"/>
      <c r="AP292" s="349"/>
      <c r="AQ292" s="349"/>
      <c r="AR292" s="349"/>
      <c r="AS292" s="349"/>
      <c r="AT292" s="349"/>
      <c r="AU292" s="349"/>
      <c r="AV292" s="349"/>
      <c r="AW292" s="349"/>
      <c r="AX292" s="349"/>
      <c r="AY292" s="349"/>
      <c r="AZ292" s="349"/>
      <c r="BA292" s="349"/>
      <c r="BB292" s="349"/>
      <c r="BC292" s="349"/>
      <c r="BD292" s="349"/>
      <c r="BE292" s="349"/>
      <c r="BF292" s="349"/>
      <c r="BG292" s="349"/>
      <c r="BH292" s="349"/>
      <c r="BI292" s="349"/>
      <c r="BJ292" s="349"/>
      <c r="BK292" s="349"/>
      <c r="BL292" s="349"/>
      <c r="BM292" s="349"/>
      <c r="BN292" s="349"/>
      <c r="BO292" s="349"/>
      <c r="BP292" s="349"/>
      <c r="BQ292" s="349"/>
      <c r="BR292" s="349"/>
      <c r="BS292" s="349"/>
    </row>
    <row r="293" spans="1:71" x14ac:dyDescent="0.3">
      <c r="A293" s="349"/>
      <c r="B293" s="349"/>
      <c r="C293" s="349"/>
      <c r="D293" s="349"/>
      <c r="E293" s="349"/>
      <c r="F293" s="349"/>
      <c r="G293" s="349"/>
      <c r="H293" s="349"/>
      <c r="I293" s="349"/>
      <c r="J293" s="349"/>
      <c r="K293" s="349"/>
      <c r="L293" s="349"/>
      <c r="M293" s="349"/>
      <c r="N293" s="349"/>
      <c r="O293" s="349"/>
      <c r="P293" s="349"/>
      <c r="Q293" s="349"/>
      <c r="R293" s="349"/>
      <c r="S293" s="349"/>
      <c r="T293" s="349"/>
      <c r="U293" s="349"/>
      <c r="V293" s="349"/>
      <c r="W293" s="349"/>
      <c r="X293" s="349"/>
      <c r="Y293" s="349"/>
      <c r="Z293" s="349"/>
      <c r="AA293" s="349"/>
      <c r="AB293" s="349"/>
      <c r="AC293" s="349"/>
      <c r="AD293" s="349"/>
      <c r="AE293" s="349"/>
      <c r="AF293" s="349"/>
      <c r="AG293" s="349"/>
      <c r="AH293" s="349"/>
      <c r="AI293" s="349"/>
      <c r="AJ293" s="349"/>
      <c r="AK293" s="349"/>
      <c r="AL293" s="349"/>
      <c r="AM293" s="349"/>
      <c r="AN293" s="349"/>
      <c r="AO293" s="349"/>
      <c r="AP293" s="349"/>
      <c r="AQ293" s="349"/>
      <c r="AR293" s="349"/>
      <c r="AS293" s="349"/>
      <c r="AT293" s="349"/>
      <c r="AU293" s="349"/>
      <c r="AV293" s="349"/>
      <c r="AW293" s="349"/>
      <c r="AX293" s="349"/>
      <c r="AY293" s="349"/>
      <c r="AZ293" s="349"/>
      <c r="BA293" s="349"/>
      <c r="BB293" s="349"/>
      <c r="BC293" s="349"/>
      <c r="BD293" s="349"/>
      <c r="BE293" s="349"/>
      <c r="BF293" s="349"/>
      <c r="BG293" s="349"/>
      <c r="BH293" s="349"/>
      <c r="BI293" s="349"/>
      <c r="BJ293" s="349"/>
      <c r="BK293" s="349"/>
      <c r="BL293" s="349"/>
      <c r="BM293" s="349"/>
      <c r="BN293" s="349"/>
      <c r="BO293" s="349"/>
      <c r="BP293" s="349"/>
      <c r="BQ293" s="349"/>
      <c r="BR293" s="349"/>
      <c r="BS293" s="349"/>
    </row>
    <row r="294" spans="1:71" x14ac:dyDescent="0.3">
      <c r="A294" s="349"/>
      <c r="B294" s="349"/>
      <c r="C294" s="349"/>
      <c r="D294" s="349"/>
      <c r="E294" s="349"/>
      <c r="F294" s="349"/>
      <c r="G294" s="349"/>
      <c r="H294" s="349"/>
      <c r="I294" s="349"/>
      <c r="J294" s="349"/>
      <c r="K294" s="349"/>
      <c r="L294" s="349"/>
      <c r="M294" s="349"/>
      <c r="N294" s="349"/>
      <c r="O294" s="349"/>
      <c r="P294" s="349"/>
      <c r="Q294" s="349"/>
      <c r="R294" s="349"/>
      <c r="S294" s="349"/>
      <c r="T294" s="349"/>
      <c r="U294" s="349"/>
      <c r="V294" s="349"/>
      <c r="W294" s="349"/>
      <c r="X294" s="349"/>
      <c r="Y294" s="349"/>
      <c r="Z294" s="349"/>
      <c r="AA294" s="349"/>
      <c r="AB294" s="349"/>
      <c r="AC294" s="349"/>
      <c r="AD294" s="349"/>
      <c r="AE294" s="349"/>
      <c r="AF294" s="349"/>
      <c r="AG294" s="349"/>
      <c r="AH294" s="349"/>
      <c r="AI294" s="349"/>
      <c r="AJ294" s="349"/>
      <c r="AK294" s="349"/>
      <c r="AL294" s="349"/>
      <c r="AM294" s="349"/>
      <c r="AN294" s="349"/>
      <c r="AO294" s="349"/>
      <c r="AP294" s="349"/>
      <c r="AQ294" s="349"/>
      <c r="AR294" s="349"/>
      <c r="AS294" s="349"/>
      <c r="AT294" s="349"/>
      <c r="AU294" s="349"/>
      <c r="AV294" s="349"/>
      <c r="AW294" s="349"/>
      <c r="AX294" s="349"/>
      <c r="AY294" s="349"/>
      <c r="AZ294" s="349"/>
      <c r="BA294" s="349"/>
      <c r="BB294" s="349"/>
      <c r="BC294" s="349"/>
      <c r="BD294" s="349"/>
      <c r="BE294" s="349"/>
      <c r="BF294" s="349"/>
      <c r="BG294" s="349"/>
      <c r="BH294" s="349"/>
      <c r="BI294" s="349"/>
      <c r="BJ294" s="349"/>
      <c r="BK294" s="349"/>
      <c r="BL294" s="349"/>
      <c r="BM294" s="349"/>
      <c r="BN294" s="349"/>
      <c r="BO294" s="349"/>
      <c r="BP294" s="349"/>
      <c r="BQ294" s="349"/>
      <c r="BR294" s="349"/>
      <c r="BS294" s="349"/>
    </row>
    <row r="295" spans="1:71" x14ac:dyDescent="0.3">
      <c r="A295" s="349"/>
      <c r="B295" s="349"/>
      <c r="C295" s="349"/>
      <c r="D295" s="349"/>
      <c r="E295" s="349"/>
      <c r="F295" s="349"/>
      <c r="G295" s="349"/>
      <c r="H295" s="349"/>
      <c r="I295" s="349"/>
      <c r="J295" s="349"/>
      <c r="K295" s="349"/>
      <c r="L295" s="349"/>
      <c r="M295" s="349"/>
      <c r="N295" s="349"/>
      <c r="O295" s="349"/>
      <c r="P295" s="349"/>
      <c r="Q295" s="349"/>
      <c r="R295" s="349"/>
      <c r="S295" s="349"/>
      <c r="T295" s="349"/>
      <c r="U295" s="349"/>
      <c r="V295" s="349"/>
      <c r="W295" s="349"/>
      <c r="X295" s="349"/>
      <c r="Y295" s="349"/>
      <c r="Z295" s="349"/>
      <c r="AA295" s="349"/>
      <c r="AB295" s="349"/>
      <c r="AC295" s="349"/>
      <c r="AD295" s="349"/>
      <c r="AE295" s="349"/>
      <c r="AF295" s="349"/>
      <c r="AG295" s="349"/>
      <c r="AH295" s="349"/>
      <c r="AI295" s="349"/>
      <c r="AJ295" s="349"/>
      <c r="AK295" s="349"/>
      <c r="AL295" s="349"/>
      <c r="AM295" s="349"/>
      <c r="AN295" s="349"/>
      <c r="AO295" s="349"/>
      <c r="AP295" s="349"/>
      <c r="AQ295" s="349"/>
      <c r="AR295" s="349"/>
      <c r="AS295" s="349"/>
      <c r="AT295" s="349"/>
      <c r="AU295" s="349"/>
      <c r="AV295" s="349"/>
      <c r="AW295" s="349"/>
      <c r="AX295" s="349"/>
      <c r="AY295" s="349"/>
      <c r="AZ295" s="349"/>
      <c r="BA295" s="349"/>
      <c r="BB295" s="349"/>
      <c r="BC295" s="349"/>
      <c r="BD295" s="349"/>
      <c r="BE295" s="349"/>
      <c r="BF295" s="349"/>
      <c r="BG295" s="349"/>
      <c r="BH295" s="349"/>
      <c r="BI295" s="349"/>
      <c r="BJ295" s="349"/>
      <c r="BK295" s="349"/>
      <c r="BL295" s="349"/>
      <c r="BM295" s="349"/>
      <c r="BN295" s="349"/>
      <c r="BO295" s="349"/>
      <c r="BP295" s="349"/>
      <c r="BQ295" s="349"/>
      <c r="BR295" s="349"/>
      <c r="BS295" s="349"/>
    </row>
    <row r="296" spans="1:71" x14ac:dyDescent="0.3">
      <c r="A296" s="349"/>
      <c r="B296" s="349"/>
      <c r="C296" s="349"/>
      <c r="D296" s="349"/>
      <c r="E296" s="349"/>
      <c r="F296" s="349"/>
      <c r="G296" s="349"/>
      <c r="H296" s="349"/>
      <c r="I296" s="349"/>
      <c r="J296" s="349"/>
      <c r="K296" s="349"/>
      <c r="L296" s="349"/>
      <c r="M296" s="349"/>
      <c r="N296" s="349"/>
      <c r="O296" s="349"/>
      <c r="P296" s="349"/>
      <c r="Q296" s="349"/>
      <c r="R296" s="349"/>
      <c r="S296" s="349"/>
      <c r="T296" s="349"/>
      <c r="U296" s="349"/>
      <c r="V296" s="349"/>
      <c r="W296" s="349"/>
      <c r="X296" s="349"/>
      <c r="Y296" s="349"/>
      <c r="Z296" s="349"/>
      <c r="AA296" s="349"/>
      <c r="AB296" s="349"/>
      <c r="AC296" s="349"/>
      <c r="AD296" s="349"/>
      <c r="AE296" s="349"/>
      <c r="AF296" s="349"/>
      <c r="AG296" s="349"/>
      <c r="AH296" s="349"/>
      <c r="AI296" s="349"/>
      <c r="AJ296" s="349"/>
      <c r="AK296" s="349"/>
      <c r="AL296" s="349"/>
      <c r="AM296" s="349"/>
      <c r="AN296" s="349"/>
      <c r="AO296" s="349"/>
      <c r="AP296" s="349"/>
      <c r="AQ296" s="349"/>
      <c r="AR296" s="349"/>
      <c r="AS296" s="349"/>
      <c r="AT296" s="349"/>
      <c r="AU296" s="349"/>
      <c r="AV296" s="349"/>
      <c r="AW296" s="349"/>
      <c r="AX296" s="349"/>
      <c r="AY296" s="349"/>
      <c r="AZ296" s="349"/>
      <c r="BA296" s="349"/>
      <c r="BB296" s="349"/>
      <c r="BC296" s="349"/>
      <c r="BD296" s="349"/>
      <c r="BE296" s="349"/>
      <c r="BF296" s="349"/>
      <c r="BG296" s="349"/>
      <c r="BH296" s="349"/>
      <c r="BI296" s="349"/>
      <c r="BJ296" s="349"/>
      <c r="BK296" s="349"/>
      <c r="BL296" s="349"/>
      <c r="BM296" s="349"/>
      <c r="BN296" s="349"/>
      <c r="BO296" s="349"/>
      <c r="BP296" s="349"/>
      <c r="BQ296" s="349"/>
      <c r="BR296" s="349"/>
      <c r="BS296" s="349"/>
    </row>
    <row r="297" spans="1:71" x14ac:dyDescent="0.3">
      <c r="A297" s="349"/>
      <c r="B297" s="349"/>
      <c r="C297" s="349"/>
      <c r="D297" s="349"/>
      <c r="E297" s="349"/>
      <c r="F297" s="349"/>
      <c r="G297" s="349"/>
      <c r="H297" s="349"/>
      <c r="I297" s="349"/>
      <c r="J297" s="349"/>
      <c r="K297" s="349"/>
      <c r="L297" s="349"/>
      <c r="M297" s="349"/>
      <c r="N297" s="349"/>
      <c r="O297" s="349"/>
      <c r="P297" s="349"/>
      <c r="Q297" s="349"/>
      <c r="R297" s="349"/>
      <c r="S297" s="349"/>
      <c r="T297" s="349"/>
      <c r="U297" s="349"/>
      <c r="V297" s="349"/>
      <c r="W297" s="349"/>
      <c r="X297" s="349"/>
      <c r="Y297" s="349"/>
      <c r="Z297" s="349"/>
      <c r="AA297" s="349"/>
      <c r="AB297" s="349"/>
      <c r="AC297" s="349"/>
      <c r="AD297" s="349"/>
      <c r="AE297" s="349"/>
      <c r="AF297" s="349"/>
      <c r="AG297" s="349"/>
      <c r="AH297" s="349"/>
      <c r="AI297" s="349"/>
      <c r="AJ297" s="349"/>
      <c r="AK297" s="349"/>
      <c r="AL297" s="349"/>
      <c r="AM297" s="349"/>
      <c r="AN297" s="349"/>
      <c r="AO297" s="349"/>
      <c r="AP297" s="349"/>
      <c r="AQ297" s="349"/>
      <c r="AR297" s="349"/>
      <c r="AS297" s="349"/>
      <c r="AT297" s="349"/>
      <c r="AU297" s="349"/>
      <c r="AV297" s="349"/>
      <c r="AW297" s="349"/>
      <c r="AX297" s="349"/>
      <c r="AY297" s="349"/>
      <c r="AZ297" s="349"/>
      <c r="BA297" s="349"/>
      <c r="BB297" s="349"/>
      <c r="BC297" s="349"/>
      <c r="BD297" s="349"/>
      <c r="BE297" s="349"/>
      <c r="BF297" s="349"/>
      <c r="BG297" s="349"/>
      <c r="BH297" s="349"/>
      <c r="BI297" s="349"/>
      <c r="BJ297" s="349"/>
      <c r="BK297" s="349"/>
      <c r="BL297" s="349"/>
      <c r="BM297" s="349"/>
      <c r="BN297" s="349"/>
      <c r="BO297" s="349"/>
      <c r="BP297" s="349"/>
      <c r="BQ297" s="349"/>
      <c r="BR297" s="349"/>
      <c r="BS297" s="349"/>
    </row>
    <row r="298" spans="1:71" x14ac:dyDescent="0.3">
      <c r="A298" s="349"/>
      <c r="B298" s="349"/>
      <c r="C298" s="349"/>
      <c r="D298" s="349"/>
      <c r="E298" s="349"/>
      <c r="F298" s="349"/>
      <c r="G298" s="349"/>
      <c r="H298" s="349"/>
      <c r="I298" s="349"/>
      <c r="J298" s="349"/>
      <c r="K298" s="349"/>
      <c r="L298" s="349"/>
      <c r="M298" s="349"/>
      <c r="N298" s="349"/>
      <c r="O298" s="349"/>
      <c r="P298" s="349"/>
      <c r="Q298" s="349"/>
      <c r="R298" s="349"/>
      <c r="S298" s="349"/>
      <c r="T298" s="349"/>
      <c r="U298" s="349"/>
      <c r="V298" s="349"/>
      <c r="W298" s="349"/>
      <c r="X298" s="349"/>
      <c r="Y298" s="349"/>
      <c r="Z298" s="349"/>
      <c r="AA298" s="349"/>
      <c r="AB298" s="349"/>
      <c r="AC298" s="349"/>
      <c r="AD298" s="349"/>
      <c r="AE298" s="349"/>
      <c r="AF298" s="349"/>
      <c r="AG298" s="349"/>
      <c r="AH298" s="349"/>
      <c r="AI298" s="349"/>
      <c r="AJ298" s="349"/>
      <c r="AK298" s="349"/>
      <c r="AL298" s="349"/>
      <c r="AM298" s="349"/>
      <c r="AN298" s="349"/>
      <c r="AO298" s="349"/>
      <c r="AP298" s="349"/>
      <c r="AQ298" s="349"/>
      <c r="AR298" s="349"/>
      <c r="AS298" s="349"/>
      <c r="AT298" s="349"/>
      <c r="AU298" s="349"/>
      <c r="AV298" s="349"/>
      <c r="AW298" s="349"/>
      <c r="AX298" s="349"/>
      <c r="AY298" s="349"/>
      <c r="AZ298" s="349"/>
      <c r="BA298" s="349"/>
      <c r="BB298" s="349"/>
      <c r="BC298" s="349"/>
      <c r="BD298" s="349"/>
      <c r="BE298" s="349"/>
      <c r="BF298" s="349"/>
      <c r="BG298" s="349"/>
      <c r="BH298" s="349"/>
      <c r="BI298" s="349"/>
      <c r="BJ298" s="349"/>
      <c r="BK298" s="349"/>
      <c r="BL298" s="349"/>
      <c r="BM298" s="349"/>
      <c r="BN298" s="349"/>
      <c r="BO298" s="349"/>
      <c r="BP298" s="349"/>
      <c r="BQ298" s="349"/>
      <c r="BR298" s="349"/>
      <c r="BS298" s="349"/>
    </row>
    <row r="299" spans="1:71" x14ac:dyDescent="0.3">
      <c r="A299" s="349"/>
      <c r="B299" s="349"/>
      <c r="C299" s="349"/>
      <c r="D299" s="349"/>
      <c r="E299" s="349"/>
      <c r="F299" s="349"/>
      <c r="G299" s="349"/>
      <c r="H299" s="349"/>
      <c r="I299" s="349"/>
      <c r="J299" s="349"/>
      <c r="K299" s="349"/>
      <c r="L299" s="349"/>
      <c r="M299" s="349"/>
      <c r="N299" s="349"/>
      <c r="O299" s="349"/>
      <c r="P299" s="349"/>
      <c r="Q299" s="349"/>
      <c r="R299" s="349"/>
      <c r="S299" s="349"/>
      <c r="T299" s="349"/>
      <c r="U299" s="349"/>
      <c r="V299" s="349"/>
      <c r="W299" s="349"/>
      <c r="X299" s="349"/>
      <c r="Y299" s="349"/>
      <c r="Z299" s="349"/>
      <c r="AA299" s="349"/>
      <c r="AB299" s="349"/>
      <c r="AC299" s="349"/>
      <c r="AD299" s="349"/>
      <c r="AE299" s="349"/>
      <c r="AF299" s="349"/>
      <c r="AG299" s="349"/>
      <c r="AH299" s="349"/>
      <c r="AI299" s="349"/>
      <c r="AJ299" s="349"/>
      <c r="AK299" s="349"/>
      <c r="AL299" s="349"/>
      <c r="AM299" s="349"/>
      <c r="AN299" s="349"/>
      <c r="AO299" s="349"/>
      <c r="AP299" s="349"/>
      <c r="AQ299" s="349"/>
      <c r="AR299" s="349"/>
      <c r="AS299" s="349"/>
      <c r="AT299" s="349"/>
      <c r="AU299" s="349"/>
      <c r="AV299" s="349"/>
      <c r="AW299" s="349"/>
      <c r="AX299" s="349"/>
      <c r="AY299" s="349"/>
      <c r="AZ299" s="349"/>
      <c r="BA299" s="349"/>
      <c r="BB299" s="349"/>
      <c r="BC299" s="349"/>
      <c r="BD299" s="349"/>
      <c r="BE299" s="349"/>
      <c r="BF299" s="349"/>
      <c r="BG299" s="349"/>
      <c r="BH299" s="349"/>
      <c r="BI299" s="349"/>
      <c r="BJ299" s="349"/>
      <c r="BK299" s="349"/>
      <c r="BL299" s="349"/>
      <c r="BM299" s="349"/>
      <c r="BN299" s="349"/>
      <c r="BO299" s="349"/>
      <c r="BP299" s="349"/>
      <c r="BQ299" s="349"/>
      <c r="BR299" s="349"/>
      <c r="BS299" s="349"/>
    </row>
    <row r="300" spans="1:71" x14ac:dyDescent="0.3">
      <c r="A300" s="349"/>
      <c r="B300" s="349"/>
      <c r="C300" s="349"/>
      <c r="D300" s="349"/>
      <c r="E300" s="349"/>
      <c r="F300" s="349"/>
      <c r="G300" s="349"/>
      <c r="H300" s="349"/>
      <c r="I300" s="349"/>
      <c r="J300" s="349"/>
      <c r="K300" s="349"/>
      <c r="L300" s="349"/>
      <c r="M300" s="349"/>
      <c r="N300" s="349"/>
      <c r="O300" s="349"/>
      <c r="P300" s="349"/>
      <c r="Q300" s="349"/>
      <c r="R300" s="349"/>
      <c r="S300" s="349"/>
      <c r="T300" s="349"/>
      <c r="U300" s="349"/>
      <c r="V300" s="349"/>
      <c r="W300" s="349"/>
      <c r="X300" s="349"/>
      <c r="Y300" s="349"/>
      <c r="Z300" s="349"/>
      <c r="AA300" s="349"/>
      <c r="AB300" s="349"/>
      <c r="AC300" s="349"/>
      <c r="AD300" s="349"/>
      <c r="AE300" s="349"/>
      <c r="AF300" s="349"/>
      <c r="AG300" s="349"/>
      <c r="AH300" s="349"/>
      <c r="AI300" s="349"/>
      <c r="AJ300" s="349"/>
      <c r="AK300" s="349"/>
      <c r="AL300" s="349"/>
      <c r="AM300" s="349"/>
      <c r="AN300" s="349"/>
      <c r="AO300" s="349"/>
      <c r="AP300" s="349"/>
      <c r="AQ300" s="349"/>
      <c r="AR300" s="349"/>
      <c r="AS300" s="349"/>
      <c r="AT300" s="349"/>
      <c r="AU300" s="349"/>
      <c r="AV300" s="349"/>
      <c r="AW300" s="349"/>
      <c r="AX300" s="349"/>
      <c r="AY300" s="349"/>
      <c r="AZ300" s="349"/>
      <c r="BA300" s="349"/>
      <c r="BB300" s="349"/>
      <c r="BC300" s="349"/>
      <c r="BD300" s="349"/>
      <c r="BE300" s="349"/>
      <c r="BF300" s="349"/>
      <c r="BG300" s="349"/>
      <c r="BH300" s="349"/>
      <c r="BI300" s="349"/>
      <c r="BJ300" s="349"/>
      <c r="BK300" s="349"/>
      <c r="BL300" s="349"/>
      <c r="BM300" s="349"/>
      <c r="BN300" s="349"/>
      <c r="BO300" s="349"/>
      <c r="BP300" s="349"/>
      <c r="BQ300" s="349"/>
      <c r="BR300" s="349"/>
      <c r="BS300" s="349"/>
    </row>
    <row r="301" spans="1:71" x14ac:dyDescent="0.3">
      <c r="A301" s="349"/>
      <c r="B301" s="349"/>
      <c r="C301" s="349"/>
      <c r="D301" s="349"/>
      <c r="E301" s="349"/>
      <c r="F301" s="349"/>
      <c r="G301" s="349"/>
      <c r="H301" s="349"/>
      <c r="I301" s="349"/>
      <c r="J301" s="349"/>
      <c r="K301" s="349"/>
      <c r="L301" s="349"/>
      <c r="M301" s="349"/>
      <c r="N301" s="349"/>
      <c r="O301" s="349"/>
      <c r="P301" s="349"/>
      <c r="Q301" s="349"/>
      <c r="R301" s="349"/>
      <c r="S301" s="349"/>
      <c r="T301" s="349"/>
      <c r="U301" s="349"/>
      <c r="V301" s="349"/>
      <c r="W301" s="349"/>
      <c r="X301" s="349"/>
      <c r="Y301" s="349"/>
      <c r="Z301" s="349"/>
      <c r="AA301" s="349"/>
      <c r="AB301" s="349"/>
      <c r="AC301" s="349"/>
      <c r="AD301" s="349"/>
      <c r="AE301" s="349"/>
      <c r="AF301" s="349"/>
      <c r="AG301" s="349"/>
      <c r="AH301" s="349"/>
      <c r="AI301" s="349"/>
      <c r="AJ301" s="349"/>
      <c r="AK301" s="349"/>
      <c r="AL301" s="349"/>
      <c r="AM301" s="349"/>
      <c r="AN301" s="349"/>
      <c r="AO301" s="349"/>
      <c r="AP301" s="349"/>
      <c r="AQ301" s="349"/>
      <c r="AR301" s="349"/>
      <c r="AS301" s="349"/>
      <c r="AT301" s="349"/>
      <c r="AU301" s="349"/>
      <c r="AV301" s="349"/>
      <c r="AW301" s="349"/>
      <c r="AX301" s="349"/>
      <c r="AY301" s="349"/>
      <c r="AZ301" s="349"/>
      <c r="BA301" s="349"/>
      <c r="BB301" s="349"/>
      <c r="BC301" s="349"/>
      <c r="BD301" s="349"/>
      <c r="BE301" s="349"/>
      <c r="BF301" s="349"/>
      <c r="BG301" s="349"/>
      <c r="BH301" s="349"/>
      <c r="BI301" s="349"/>
      <c r="BJ301" s="349"/>
      <c r="BK301" s="349"/>
      <c r="BL301" s="349"/>
      <c r="BM301" s="349"/>
      <c r="BN301" s="349"/>
      <c r="BO301" s="349"/>
      <c r="BP301" s="349"/>
      <c r="BQ301" s="349"/>
      <c r="BR301" s="349"/>
      <c r="BS301" s="349"/>
    </row>
    <row r="302" spans="1:71" x14ac:dyDescent="0.3">
      <c r="A302" s="349"/>
      <c r="B302" s="349"/>
      <c r="C302" s="349"/>
      <c r="D302" s="349"/>
      <c r="E302" s="349"/>
      <c r="F302" s="349"/>
      <c r="G302" s="349"/>
      <c r="H302" s="349"/>
      <c r="I302" s="349"/>
      <c r="J302" s="349"/>
      <c r="K302" s="349"/>
      <c r="L302" s="349"/>
      <c r="M302" s="349"/>
      <c r="N302" s="349"/>
      <c r="O302" s="349"/>
      <c r="P302" s="349"/>
      <c r="Q302" s="349"/>
      <c r="R302" s="349"/>
      <c r="S302" s="349"/>
      <c r="T302" s="349"/>
      <c r="U302" s="349"/>
      <c r="V302" s="349"/>
      <c r="W302" s="349"/>
      <c r="X302" s="349"/>
      <c r="Y302" s="349"/>
      <c r="Z302" s="349"/>
      <c r="AA302" s="349"/>
      <c r="AB302" s="349"/>
      <c r="AC302" s="349"/>
      <c r="AD302" s="349"/>
      <c r="AE302" s="349"/>
      <c r="AF302" s="349"/>
      <c r="AG302" s="349"/>
      <c r="AH302" s="349"/>
      <c r="AI302" s="349"/>
      <c r="AJ302" s="349"/>
      <c r="AK302" s="349"/>
      <c r="AL302" s="349"/>
      <c r="AM302" s="349"/>
      <c r="AN302" s="349"/>
      <c r="AO302" s="349"/>
      <c r="AP302" s="349"/>
      <c r="AQ302" s="349"/>
      <c r="AR302" s="349"/>
      <c r="AS302" s="349"/>
      <c r="AT302" s="349"/>
      <c r="AU302" s="349"/>
      <c r="AV302" s="349"/>
      <c r="AW302" s="349"/>
      <c r="AX302" s="349"/>
      <c r="AY302" s="349"/>
      <c r="AZ302" s="349"/>
      <c r="BA302" s="349"/>
      <c r="BB302" s="349"/>
      <c r="BC302" s="349"/>
      <c r="BD302" s="349"/>
      <c r="BE302" s="349"/>
      <c r="BF302" s="349"/>
      <c r="BG302" s="349"/>
      <c r="BH302" s="349"/>
      <c r="BI302" s="349"/>
      <c r="BJ302" s="349"/>
      <c r="BK302" s="349"/>
      <c r="BL302" s="349"/>
      <c r="BM302" s="349"/>
      <c r="BN302" s="349"/>
      <c r="BO302" s="349"/>
      <c r="BP302" s="349"/>
      <c r="BQ302" s="349"/>
      <c r="BR302" s="349"/>
      <c r="BS302" s="349"/>
    </row>
    <row r="303" spans="1:71" x14ac:dyDescent="0.3">
      <c r="A303" s="349"/>
      <c r="B303" s="349"/>
      <c r="C303" s="349"/>
      <c r="D303" s="349"/>
      <c r="E303" s="349"/>
      <c r="F303" s="349"/>
      <c r="G303" s="349"/>
      <c r="H303" s="349"/>
      <c r="I303" s="349"/>
      <c r="J303" s="349"/>
      <c r="K303" s="349"/>
      <c r="L303" s="349"/>
      <c r="M303" s="349"/>
      <c r="N303" s="349"/>
      <c r="O303" s="349"/>
      <c r="P303" s="349"/>
      <c r="Q303" s="349"/>
      <c r="R303" s="349"/>
      <c r="S303" s="349"/>
      <c r="T303" s="349"/>
      <c r="U303" s="349"/>
      <c r="V303" s="349"/>
      <c r="W303" s="349"/>
      <c r="X303" s="349"/>
      <c r="Y303" s="349"/>
      <c r="Z303" s="349"/>
      <c r="AA303" s="349"/>
      <c r="AB303" s="349"/>
      <c r="AC303" s="349"/>
      <c r="AD303" s="349"/>
      <c r="AE303" s="349"/>
      <c r="AF303" s="349"/>
      <c r="AG303" s="349"/>
      <c r="AH303" s="349"/>
      <c r="AI303" s="349"/>
      <c r="AJ303" s="349"/>
      <c r="AK303" s="349"/>
      <c r="AL303" s="349"/>
      <c r="AM303" s="349"/>
      <c r="AN303" s="349"/>
      <c r="AO303" s="349"/>
      <c r="AP303" s="349"/>
      <c r="AQ303" s="349"/>
      <c r="AR303" s="349"/>
      <c r="AS303" s="349"/>
      <c r="AT303" s="349"/>
      <c r="AU303" s="349"/>
      <c r="AV303" s="349"/>
      <c r="AW303" s="349"/>
      <c r="AX303" s="349"/>
      <c r="AY303" s="349"/>
      <c r="AZ303" s="349"/>
      <c r="BA303" s="349"/>
      <c r="BB303" s="349"/>
      <c r="BC303" s="349"/>
      <c r="BD303" s="349"/>
      <c r="BE303" s="349"/>
      <c r="BF303" s="349"/>
      <c r="BG303" s="349"/>
      <c r="BH303" s="349"/>
      <c r="BI303" s="349"/>
      <c r="BJ303" s="349"/>
      <c r="BK303" s="349"/>
      <c r="BL303" s="349"/>
      <c r="BM303" s="349"/>
      <c r="BN303" s="349"/>
      <c r="BO303" s="349"/>
      <c r="BP303" s="349"/>
      <c r="BQ303" s="349"/>
      <c r="BR303" s="349"/>
      <c r="BS303" s="349"/>
    </row>
    <row r="304" spans="1:71" x14ac:dyDescent="0.3">
      <c r="A304" s="349"/>
      <c r="B304" s="349"/>
      <c r="C304" s="349"/>
      <c r="D304" s="349"/>
      <c r="E304" s="349"/>
      <c r="F304" s="349"/>
      <c r="G304" s="349"/>
      <c r="H304" s="349"/>
      <c r="I304" s="349"/>
      <c r="J304" s="349"/>
      <c r="K304" s="349"/>
      <c r="L304" s="349"/>
      <c r="M304" s="349"/>
      <c r="N304" s="349"/>
      <c r="O304" s="349"/>
      <c r="P304" s="349"/>
      <c r="Q304" s="349"/>
      <c r="R304" s="349"/>
      <c r="S304" s="349"/>
      <c r="T304" s="349"/>
      <c r="U304" s="349"/>
      <c r="V304" s="349"/>
      <c r="W304" s="349"/>
      <c r="X304" s="349"/>
      <c r="Y304" s="349"/>
      <c r="Z304" s="349"/>
      <c r="AA304" s="349"/>
      <c r="AB304" s="349"/>
      <c r="AC304" s="349"/>
      <c r="AD304" s="349"/>
      <c r="AE304" s="349"/>
      <c r="AF304" s="349"/>
      <c r="AG304" s="349"/>
      <c r="AH304" s="349"/>
      <c r="AI304" s="349"/>
      <c r="AJ304" s="349"/>
      <c r="AK304" s="349"/>
      <c r="AL304" s="349"/>
      <c r="AM304" s="349"/>
      <c r="AN304" s="349"/>
      <c r="AO304" s="349"/>
      <c r="AP304" s="349"/>
      <c r="AQ304" s="349"/>
      <c r="AR304" s="349"/>
      <c r="AS304" s="349"/>
      <c r="AT304" s="349"/>
      <c r="AU304" s="349"/>
      <c r="AV304" s="349"/>
      <c r="AW304" s="349"/>
      <c r="AX304" s="349"/>
      <c r="AY304" s="349"/>
      <c r="AZ304" s="349"/>
      <c r="BA304" s="349"/>
      <c r="BB304" s="349"/>
      <c r="BC304" s="349"/>
      <c r="BD304" s="349"/>
      <c r="BE304" s="349"/>
      <c r="BF304" s="349"/>
      <c r="BG304" s="349"/>
      <c r="BH304" s="349"/>
      <c r="BI304" s="349"/>
      <c r="BJ304" s="349"/>
      <c r="BK304" s="349"/>
      <c r="BL304" s="349"/>
      <c r="BM304" s="349"/>
      <c r="BN304" s="349"/>
      <c r="BO304" s="349"/>
      <c r="BP304" s="349"/>
      <c r="BQ304" s="349"/>
      <c r="BR304" s="349"/>
      <c r="BS304" s="349"/>
    </row>
    <row r="305" spans="1:71" x14ac:dyDescent="0.3">
      <c r="A305" s="349"/>
      <c r="B305" s="349"/>
      <c r="C305" s="349"/>
      <c r="D305" s="349"/>
      <c r="E305" s="349"/>
      <c r="F305" s="349"/>
      <c r="G305" s="349"/>
      <c r="H305" s="349"/>
      <c r="I305" s="349"/>
      <c r="J305" s="349"/>
      <c r="K305" s="349"/>
      <c r="L305" s="349"/>
      <c r="M305" s="349"/>
      <c r="N305" s="349"/>
      <c r="O305" s="349"/>
      <c r="P305" s="349"/>
      <c r="Q305" s="349"/>
      <c r="R305" s="349"/>
      <c r="S305" s="349"/>
      <c r="T305" s="349"/>
      <c r="U305" s="349"/>
      <c r="V305" s="349"/>
      <c r="W305" s="349"/>
      <c r="X305" s="349"/>
      <c r="Y305" s="349"/>
      <c r="Z305" s="349"/>
      <c r="AA305" s="349"/>
      <c r="AB305" s="349"/>
      <c r="AC305" s="349"/>
      <c r="AD305" s="349"/>
      <c r="AE305" s="349"/>
      <c r="AF305" s="349"/>
      <c r="AG305" s="349"/>
      <c r="AH305" s="349"/>
      <c r="AI305" s="349"/>
      <c r="AJ305" s="349"/>
      <c r="AK305" s="349"/>
      <c r="AL305" s="349"/>
      <c r="AM305" s="349"/>
      <c r="AN305" s="349"/>
      <c r="AO305" s="349"/>
      <c r="AP305" s="349"/>
      <c r="AQ305" s="349"/>
      <c r="AR305" s="349"/>
      <c r="AS305" s="349"/>
      <c r="AT305" s="349"/>
      <c r="AU305" s="349"/>
      <c r="AV305" s="349"/>
      <c r="AW305" s="349"/>
      <c r="AX305" s="349"/>
      <c r="AY305" s="349"/>
      <c r="AZ305" s="349"/>
      <c r="BA305" s="349"/>
      <c r="BB305" s="349"/>
      <c r="BC305" s="349"/>
      <c r="BD305" s="349"/>
      <c r="BE305" s="349"/>
      <c r="BF305" s="349"/>
      <c r="BG305" s="349"/>
      <c r="BH305" s="349"/>
      <c r="BI305" s="349"/>
      <c r="BJ305" s="349"/>
      <c r="BK305" s="349"/>
      <c r="BL305" s="349"/>
      <c r="BM305" s="349"/>
      <c r="BN305" s="349"/>
      <c r="BO305" s="349"/>
      <c r="BP305" s="349"/>
      <c r="BQ305" s="349"/>
      <c r="BR305" s="349"/>
      <c r="BS305" s="349"/>
    </row>
    <row r="306" spans="1:71" x14ac:dyDescent="0.3">
      <c r="A306" s="349"/>
      <c r="B306" s="349"/>
      <c r="C306" s="349"/>
      <c r="D306" s="349"/>
      <c r="E306" s="349"/>
      <c r="F306" s="349"/>
      <c r="G306" s="349"/>
      <c r="H306" s="349"/>
      <c r="I306" s="349"/>
      <c r="J306" s="349"/>
      <c r="K306" s="349"/>
      <c r="L306" s="349"/>
      <c r="M306" s="349"/>
      <c r="N306" s="349"/>
      <c r="O306" s="349"/>
      <c r="P306" s="349"/>
      <c r="Q306" s="349"/>
      <c r="R306" s="349"/>
      <c r="S306" s="349"/>
      <c r="T306" s="349"/>
      <c r="U306" s="349"/>
      <c r="V306" s="349"/>
      <c r="W306" s="349"/>
      <c r="X306" s="349"/>
      <c r="Y306" s="349"/>
      <c r="Z306" s="349"/>
      <c r="AA306" s="349"/>
      <c r="AB306" s="349"/>
      <c r="AC306" s="349"/>
      <c r="AD306" s="349"/>
      <c r="AE306" s="349"/>
      <c r="AF306" s="349"/>
      <c r="AG306" s="349"/>
      <c r="AH306" s="349"/>
      <c r="AI306" s="349"/>
      <c r="AJ306" s="349"/>
      <c r="AK306" s="349"/>
      <c r="AL306" s="349"/>
      <c r="AM306" s="349"/>
      <c r="AN306" s="349"/>
      <c r="AO306" s="349"/>
      <c r="AP306" s="349"/>
      <c r="AQ306" s="349"/>
      <c r="AR306" s="349"/>
      <c r="AS306" s="349"/>
      <c r="AT306" s="349"/>
      <c r="AU306" s="349"/>
      <c r="AV306" s="349"/>
      <c r="AW306" s="349"/>
      <c r="AX306" s="349"/>
      <c r="AY306" s="349"/>
      <c r="AZ306" s="349"/>
      <c r="BA306" s="349"/>
      <c r="BB306" s="349"/>
      <c r="BC306" s="349"/>
      <c r="BD306" s="349"/>
      <c r="BE306" s="349"/>
      <c r="BF306" s="349"/>
      <c r="BG306" s="349"/>
      <c r="BH306" s="349"/>
      <c r="BI306" s="349"/>
      <c r="BJ306" s="349"/>
      <c r="BK306" s="349"/>
      <c r="BL306" s="349"/>
      <c r="BM306" s="349"/>
      <c r="BN306" s="349"/>
      <c r="BO306" s="349"/>
      <c r="BP306" s="349"/>
      <c r="BQ306" s="349"/>
      <c r="BR306" s="349"/>
      <c r="BS306" s="349"/>
    </row>
    <row r="307" spans="1:71" x14ac:dyDescent="0.3">
      <c r="A307" s="349"/>
      <c r="B307" s="349"/>
      <c r="C307" s="349"/>
      <c r="D307" s="349"/>
      <c r="E307" s="349"/>
      <c r="F307" s="349"/>
      <c r="G307" s="349"/>
      <c r="H307" s="349"/>
      <c r="I307" s="349"/>
      <c r="J307" s="349"/>
      <c r="K307" s="349"/>
      <c r="L307" s="349"/>
      <c r="M307" s="349"/>
      <c r="N307" s="349"/>
      <c r="O307" s="349"/>
      <c r="P307" s="349"/>
      <c r="Q307" s="349"/>
      <c r="R307" s="349"/>
      <c r="S307" s="349"/>
      <c r="T307" s="349"/>
      <c r="U307" s="349"/>
      <c r="V307" s="349"/>
      <c r="W307" s="349"/>
      <c r="X307" s="349"/>
      <c r="Y307" s="349"/>
      <c r="Z307" s="349"/>
      <c r="AA307" s="349"/>
      <c r="AB307" s="349"/>
      <c r="AC307" s="349"/>
      <c r="AD307" s="349"/>
      <c r="AE307" s="349"/>
      <c r="AF307" s="349"/>
      <c r="AG307" s="349"/>
      <c r="AH307" s="349"/>
      <c r="AI307" s="349"/>
      <c r="AJ307" s="349"/>
      <c r="AK307" s="349"/>
      <c r="AL307" s="349"/>
      <c r="AM307" s="349"/>
      <c r="AN307" s="349"/>
      <c r="AO307" s="349"/>
      <c r="AP307" s="349"/>
      <c r="AQ307" s="349"/>
      <c r="AR307" s="349"/>
      <c r="AS307" s="349"/>
      <c r="AT307" s="349"/>
      <c r="AU307" s="349"/>
      <c r="AV307" s="349"/>
      <c r="AW307" s="349"/>
      <c r="AX307" s="349"/>
      <c r="AY307" s="349"/>
      <c r="AZ307" s="349"/>
      <c r="BA307" s="349"/>
      <c r="BB307" s="349"/>
      <c r="BC307" s="349"/>
      <c r="BD307" s="349"/>
      <c r="BE307" s="349"/>
      <c r="BF307" s="349"/>
      <c r="BG307" s="349"/>
      <c r="BH307" s="349"/>
      <c r="BI307" s="349"/>
      <c r="BJ307" s="349"/>
      <c r="BK307" s="349"/>
      <c r="BL307" s="349"/>
      <c r="BM307" s="349"/>
      <c r="BN307" s="349"/>
      <c r="BO307" s="349"/>
      <c r="BP307" s="349"/>
      <c r="BQ307" s="349"/>
      <c r="BR307" s="349"/>
      <c r="BS307" s="349"/>
    </row>
    <row r="308" spans="1:71" x14ac:dyDescent="0.3">
      <c r="A308" s="349"/>
      <c r="B308" s="349"/>
      <c r="C308" s="349"/>
      <c r="D308" s="349"/>
      <c r="E308" s="349"/>
      <c r="F308" s="349"/>
      <c r="G308" s="349"/>
      <c r="H308" s="349"/>
      <c r="I308" s="349"/>
      <c r="J308" s="349"/>
      <c r="K308" s="349"/>
      <c r="L308" s="349"/>
      <c r="M308" s="349"/>
      <c r="N308" s="349"/>
      <c r="O308" s="349"/>
      <c r="P308" s="349"/>
      <c r="Q308" s="349"/>
      <c r="R308" s="349"/>
      <c r="S308" s="349"/>
      <c r="T308" s="349"/>
      <c r="U308" s="349"/>
      <c r="V308" s="349"/>
      <c r="W308" s="349"/>
      <c r="X308" s="349"/>
      <c r="Y308" s="349"/>
      <c r="Z308" s="349"/>
      <c r="AA308" s="349"/>
      <c r="AB308" s="349"/>
      <c r="AC308" s="349"/>
      <c r="AD308" s="349"/>
      <c r="AE308" s="349"/>
      <c r="AF308" s="349"/>
      <c r="AG308" s="349"/>
      <c r="AH308" s="349"/>
      <c r="AI308" s="349"/>
      <c r="AJ308" s="349"/>
      <c r="AK308" s="349"/>
      <c r="AL308" s="349"/>
      <c r="AM308" s="349"/>
      <c r="AN308" s="349"/>
      <c r="AO308" s="349"/>
      <c r="AP308" s="349"/>
      <c r="AQ308" s="349"/>
      <c r="AR308" s="349"/>
      <c r="AS308" s="349"/>
      <c r="AT308" s="349"/>
      <c r="AU308" s="349"/>
      <c r="AV308" s="349"/>
      <c r="AW308" s="349"/>
      <c r="AX308" s="349"/>
      <c r="AY308" s="349"/>
      <c r="AZ308" s="349"/>
      <c r="BA308" s="349"/>
      <c r="BB308" s="349"/>
      <c r="BC308" s="349"/>
      <c r="BD308" s="349"/>
      <c r="BE308" s="349"/>
      <c r="BF308" s="349"/>
      <c r="BG308" s="349"/>
      <c r="BH308" s="349"/>
      <c r="BI308" s="349"/>
      <c r="BJ308" s="349"/>
      <c r="BK308" s="349"/>
      <c r="BL308" s="349"/>
      <c r="BM308" s="349"/>
      <c r="BN308" s="349"/>
      <c r="BO308" s="349"/>
      <c r="BP308" s="349"/>
      <c r="BQ308" s="349"/>
      <c r="BR308" s="349"/>
      <c r="BS308" s="349"/>
    </row>
    <row r="309" spans="1:71" x14ac:dyDescent="0.3">
      <c r="A309" s="349"/>
      <c r="B309" s="349"/>
      <c r="C309" s="349"/>
      <c r="D309" s="349"/>
      <c r="E309" s="349"/>
      <c r="F309" s="349"/>
      <c r="G309" s="349"/>
      <c r="H309" s="349"/>
      <c r="I309" s="349"/>
      <c r="J309" s="349"/>
      <c r="K309" s="349"/>
      <c r="L309" s="349"/>
      <c r="M309" s="349"/>
      <c r="N309" s="349"/>
      <c r="O309" s="349"/>
      <c r="P309" s="349"/>
      <c r="Q309" s="349"/>
      <c r="R309" s="349"/>
      <c r="S309" s="349"/>
      <c r="T309" s="349"/>
      <c r="U309" s="349"/>
      <c r="V309" s="349"/>
      <c r="W309" s="349"/>
      <c r="X309" s="349"/>
      <c r="Y309" s="349"/>
      <c r="Z309" s="349"/>
      <c r="AA309" s="349"/>
      <c r="AB309" s="349"/>
      <c r="AC309" s="349"/>
      <c r="AD309" s="349"/>
      <c r="AE309" s="349"/>
      <c r="AF309" s="349"/>
      <c r="AG309" s="349"/>
      <c r="AH309" s="349"/>
      <c r="AI309" s="349"/>
      <c r="AJ309" s="349"/>
      <c r="AK309" s="349"/>
      <c r="AL309" s="349"/>
      <c r="AM309" s="349"/>
      <c r="AN309" s="349"/>
      <c r="AO309" s="349"/>
      <c r="AP309" s="349"/>
      <c r="AQ309" s="349"/>
      <c r="AR309" s="349"/>
      <c r="AS309" s="349"/>
      <c r="AT309" s="349"/>
      <c r="AU309" s="349"/>
      <c r="AV309" s="349"/>
      <c r="AW309" s="349"/>
      <c r="AX309" s="349"/>
      <c r="AY309" s="349"/>
      <c r="AZ309" s="349"/>
      <c r="BA309" s="349"/>
      <c r="BB309" s="349"/>
      <c r="BC309" s="349"/>
      <c r="BD309" s="349"/>
      <c r="BE309" s="349"/>
      <c r="BF309" s="349"/>
      <c r="BG309" s="349"/>
      <c r="BH309" s="349"/>
      <c r="BI309" s="349"/>
      <c r="BJ309" s="349"/>
      <c r="BK309" s="349"/>
      <c r="BL309" s="349"/>
      <c r="BM309" s="349"/>
      <c r="BN309" s="349"/>
      <c r="BO309" s="349"/>
      <c r="BP309" s="349"/>
      <c r="BQ309" s="349"/>
      <c r="BR309" s="349"/>
      <c r="BS309" s="349"/>
    </row>
    <row r="310" spans="1:71" x14ac:dyDescent="0.3">
      <c r="A310" s="349"/>
      <c r="B310" s="349"/>
      <c r="C310" s="349"/>
      <c r="D310" s="349"/>
      <c r="E310" s="349"/>
      <c r="F310" s="349"/>
      <c r="G310" s="349"/>
      <c r="H310" s="349"/>
      <c r="I310" s="349"/>
      <c r="J310" s="349"/>
      <c r="K310" s="349"/>
      <c r="L310" s="349"/>
      <c r="M310" s="349"/>
      <c r="N310" s="349"/>
      <c r="O310" s="349"/>
      <c r="P310" s="349"/>
      <c r="Q310" s="349"/>
      <c r="R310" s="349"/>
      <c r="S310" s="349"/>
      <c r="T310" s="349"/>
      <c r="U310" s="349"/>
      <c r="V310" s="349"/>
      <c r="W310" s="349"/>
      <c r="X310" s="349"/>
      <c r="Y310" s="349"/>
      <c r="Z310" s="349"/>
      <c r="AA310" s="349"/>
      <c r="AB310" s="349"/>
      <c r="AC310" s="349"/>
      <c r="AD310" s="349"/>
      <c r="AE310" s="349"/>
      <c r="AF310" s="349"/>
      <c r="AG310" s="349"/>
      <c r="AH310" s="349"/>
      <c r="AI310" s="349"/>
      <c r="AJ310" s="349"/>
      <c r="AK310" s="349"/>
      <c r="AL310" s="349"/>
      <c r="AM310" s="349"/>
      <c r="AN310" s="349"/>
      <c r="AO310" s="349"/>
      <c r="AP310" s="349"/>
      <c r="AQ310" s="349"/>
      <c r="AR310" s="349"/>
      <c r="AS310" s="349"/>
      <c r="AT310" s="349"/>
      <c r="AU310" s="349"/>
      <c r="AV310" s="349"/>
      <c r="AW310" s="349"/>
      <c r="AX310" s="349"/>
      <c r="AY310" s="349"/>
      <c r="AZ310" s="349"/>
      <c r="BA310" s="349"/>
      <c r="BB310" s="349"/>
      <c r="BC310" s="349"/>
      <c r="BD310" s="349"/>
      <c r="BE310" s="349"/>
      <c r="BF310" s="349"/>
      <c r="BG310" s="349"/>
      <c r="BH310" s="349"/>
      <c r="BI310" s="349"/>
      <c r="BJ310" s="349"/>
      <c r="BK310" s="349"/>
      <c r="BL310" s="349"/>
      <c r="BM310" s="349"/>
      <c r="BN310" s="349"/>
      <c r="BO310" s="349"/>
      <c r="BP310" s="349"/>
      <c r="BQ310" s="349"/>
      <c r="BR310" s="349"/>
      <c r="BS310" s="349"/>
    </row>
    <row r="311" spans="1:71" x14ac:dyDescent="0.3">
      <c r="A311" s="349"/>
      <c r="B311" s="349"/>
      <c r="C311" s="349"/>
      <c r="D311" s="349"/>
      <c r="E311" s="349"/>
      <c r="F311" s="349"/>
      <c r="G311" s="349"/>
      <c r="H311" s="349"/>
      <c r="I311" s="349"/>
      <c r="J311" s="349"/>
      <c r="K311" s="349"/>
      <c r="L311" s="349"/>
      <c r="M311" s="349"/>
      <c r="N311" s="349"/>
      <c r="O311" s="349"/>
      <c r="P311" s="349"/>
      <c r="Q311" s="349"/>
      <c r="R311" s="349"/>
      <c r="S311" s="349"/>
      <c r="T311" s="349"/>
      <c r="U311" s="349"/>
      <c r="V311" s="349"/>
      <c r="W311" s="349"/>
      <c r="X311" s="349"/>
      <c r="Y311" s="349"/>
      <c r="Z311" s="349"/>
      <c r="AA311" s="349"/>
      <c r="AB311" s="349"/>
      <c r="AC311" s="349"/>
      <c r="AD311" s="349"/>
      <c r="AE311" s="349"/>
      <c r="AF311" s="349"/>
      <c r="AG311" s="349"/>
      <c r="AH311" s="349"/>
      <c r="AI311" s="349"/>
      <c r="AJ311" s="349"/>
      <c r="AK311" s="349"/>
      <c r="AL311" s="349"/>
      <c r="AM311" s="349"/>
      <c r="AN311" s="349"/>
      <c r="AO311" s="349"/>
      <c r="AP311" s="349"/>
      <c r="AQ311" s="349"/>
      <c r="AR311" s="349"/>
      <c r="AS311" s="349"/>
      <c r="AT311" s="349"/>
      <c r="AU311" s="349"/>
      <c r="AV311" s="349"/>
      <c r="AW311" s="349"/>
      <c r="AX311" s="349"/>
      <c r="AY311" s="349"/>
      <c r="AZ311" s="349"/>
      <c r="BA311" s="349"/>
      <c r="BB311" s="349"/>
      <c r="BC311" s="349"/>
      <c r="BD311" s="349"/>
      <c r="BE311" s="349"/>
      <c r="BF311" s="349"/>
      <c r="BG311" s="349"/>
      <c r="BH311" s="349"/>
      <c r="BI311" s="349"/>
      <c r="BJ311" s="349"/>
      <c r="BK311" s="349"/>
      <c r="BL311" s="349"/>
      <c r="BM311" s="349"/>
      <c r="BN311" s="349"/>
      <c r="BO311" s="349"/>
      <c r="BP311" s="349"/>
      <c r="BQ311" s="349"/>
      <c r="BR311" s="349"/>
      <c r="BS311" s="349"/>
    </row>
    <row r="312" spans="1:71" x14ac:dyDescent="0.3">
      <c r="A312" s="349"/>
      <c r="B312" s="349"/>
      <c r="C312" s="349"/>
      <c r="D312" s="349"/>
      <c r="E312" s="349"/>
      <c r="F312" s="349"/>
      <c r="G312" s="349"/>
      <c r="H312" s="349"/>
      <c r="I312" s="349"/>
      <c r="J312" s="349"/>
      <c r="K312" s="349"/>
      <c r="L312" s="349"/>
      <c r="M312" s="349"/>
      <c r="N312" s="349"/>
      <c r="O312" s="349"/>
      <c r="P312" s="349"/>
      <c r="Q312" s="349"/>
      <c r="R312" s="349"/>
      <c r="S312" s="349"/>
      <c r="T312" s="349"/>
      <c r="U312" s="349"/>
      <c r="V312" s="349"/>
      <c r="W312" s="349"/>
      <c r="X312" s="349"/>
      <c r="Y312" s="349"/>
      <c r="Z312" s="349"/>
      <c r="AA312" s="349"/>
      <c r="AB312" s="349"/>
      <c r="AC312" s="349"/>
      <c r="AD312" s="349"/>
      <c r="AE312" s="349"/>
      <c r="AF312" s="349"/>
      <c r="AG312" s="349"/>
      <c r="AH312" s="349"/>
      <c r="AI312" s="349"/>
      <c r="AJ312" s="349"/>
      <c r="AK312" s="349"/>
      <c r="AL312" s="349"/>
      <c r="AM312" s="349"/>
      <c r="AN312" s="349"/>
      <c r="AO312" s="349"/>
      <c r="AP312" s="349"/>
      <c r="AQ312" s="349"/>
      <c r="AR312" s="349"/>
      <c r="AS312" s="349"/>
      <c r="AT312" s="349"/>
      <c r="AU312" s="349"/>
      <c r="AV312" s="349"/>
      <c r="AW312" s="349"/>
      <c r="AX312" s="349"/>
      <c r="AY312" s="349"/>
      <c r="AZ312" s="349"/>
      <c r="BA312" s="349"/>
      <c r="BB312" s="349"/>
      <c r="BC312" s="349"/>
      <c r="BD312" s="349"/>
      <c r="BE312" s="349"/>
      <c r="BF312" s="349"/>
      <c r="BG312" s="349"/>
      <c r="BH312" s="349"/>
      <c r="BI312" s="349"/>
      <c r="BJ312" s="349"/>
      <c r="BK312" s="349"/>
      <c r="BL312" s="349"/>
      <c r="BM312" s="349"/>
      <c r="BN312" s="349"/>
      <c r="BO312" s="349"/>
      <c r="BP312" s="349"/>
      <c r="BQ312" s="349"/>
      <c r="BR312" s="349"/>
      <c r="BS312" s="349"/>
    </row>
    <row r="313" spans="1:71" x14ac:dyDescent="0.3">
      <c r="A313" s="349"/>
      <c r="B313" s="349"/>
      <c r="C313" s="349"/>
      <c r="D313" s="349"/>
      <c r="E313" s="349"/>
      <c r="F313" s="349"/>
      <c r="G313" s="349"/>
      <c r="H313" s="349"/>
      <c r="I313" s="349"/>
      <c r="J313" s="349"/>
      <c r="K313" s="349"/>
      <c r="L313" s="349"/>
      <c r="M313" s="349"/>
      <c r="N313" s="349"/>
      <c r="O313" s="349"/>
      <c r="P313" s="349"/>
      <c r="Q313" s="349"/>
      <c r="R313" s="349"/>
      <c r="S313" s="349"/>
      <c r="T313" s="349"/>
      <c r="U313" s="349"/>
      <c r="V313" s="349"/>
      <c r="W313" s="349"/>
      <c r="X313" s="349"/>
      <c r="Y313" s="349"/>
      <c r="Z313" s="349"/>
      <c r="AA313" s="349"/>
      <c r="AB313" s="349"/>
      <c r="AC313" s="349"/>
      <c r="AD313" s="349"/>
      <c r="AE313" s="349"/>
      <c r="AF313" s="349"/>
      <c r="AG313" s="349"/>
      <c r="AH313" s="349"/>
      <c r="AI313" s="349"/>
      <c r="AJ313" s="349"/>
      <c r="AK313" s="349"/>
      <c r="AL313" s="349"/>
      <c r="AM313" s="349"/>
      <c r="AN313" s="349"/>
      <c r="AO313" s="349"/>
      <c r="AP313" s="349"/>
      <c r="AQ313" s="349"/>
      <c r="AR313" s="349"/>
      <c r="AS313" s="349"/>
      <c r="AT313" s="349"/>
      <c r="AU313" s="349"/>
      <c r="AV313" s="349"/>
      <c r="AW313" s="349"/>
      <c r="AX313" s="349"/>
      <c r="AY313" s="349"/>
      <c r="AZ313" s="349"/>
      <c r="BA313" s="349"/>
      <c r="BB313" s="349"/>
      <c r="BC313" s="349"/>
      <c r="BD313" s="349"/>
      <c r="BE313" s="349"/>
      <c r="BF313" s="349"/>
      <c r="BG313" s="349"/>
      <c r="BH313" s="349"/>
      <c r="BI313" s="349"/>
      <c r="BJ313" s="349"/>
      <c r="BK313" s="349"/>
      <c r="BL313" s="349"/>
      <c r="BM313" s="349"/>
      <c r="BN313" s="349"/>
      <c r="BO313" s="349"/>
      <c r="BP313" s="349"/>
      <c r="BQ313" s="349"/>
      <c r="BR313" s="349"/>
      <c r="BS313" s="349"/>
    </row>
    <row r="314" spans="1:71" x14ac:dyDescent="0.3">
      <c r="A314" s="349"/>
      <c r="B314" s="349"/>
      <c r="C314" s="349"/>
      <c r="D314" s="349"/>
      <c r="E314" s="349"/>
      <c r="F314" s="349"/>
      <c r="G314" s="349"/>
      <c r="H314" s="349"/>
      <c r="I314" s="349"/>
      <c r="J314" s="349"/>
      <c r="K314" s="349"/>
      <c r="L314" s="349"/>
      <c r="M314" s="349"/>
      <c r="N314" s="349"/>
      <c r="O314" s="349"/>
      <c r="P314" s="349"/>
      <c r="Q314" s="349"/>
      <c r="R314" s="349"/>
      <c r="S314" s="349"/>
      <c r="T314" s="349"/>
      <c r="U314" s="349"/>
      <c r="V314" s="349"/>
      <c r="W314" s="349"/>
      <c r="X314" s="349"/>
      <c r="Y314" s="349"/>
      <c r="Z314" s="349"/>
      <c r="AA314" s="349"/>
      <c r="AB314" s="349"/>
      <c r="AC314" s="349"/>
      <c r="AD314" s="349"/>
      <c r="AE314" s="349"/>
      <c r="AF314" s="349"/>
      <c r="AG314" s="349"/>
      <c r="AH314" s="349"/>
      <c r="AI314" s="349"/>
      <c r="AJ314" s="349"/>
      <c r="AK314" s="349"/>
      <c r="AL314" s="349"/>
      <c r="AM314" s="349"/>
      <c r="AN314" s="349"/>
      <c r="AO314" s="349"/>
      <c r="AP314" s="349"/>
      <c r="AQ314" s="349"/>
      <c r="AR314" s="349"/>
      <c r="AS314" s="349"/>
      <c r="AT314" s="349"/>
      <c r="AU314" s="349"/>
      <c r="AV314" s="349"/>
      <c r="AW314" s="349"/>
      <c r="AX314" s="349"/>
      <c r="AY314" s="349"/>
      <c r="AZ314" s="349"/>
      <c r="BA314" s="349"/>
      <c r="BB314" s="349"/>
      <c r="BC314" s="349"/>
      <c r="BD314" s="349"/>
      <c r="BE314" s="349"/>
      <c r="BF314" s="349"/>
      <c r="BG314" s="349"/>
      <c r="BH314" s="349"/>
      <c r="BI314" s="349"/>
      <c r="BJ314" s="349"/>
      <c r="BK314" s="349"/>
      <c r="BL314" s="349"/>
      <c r="BM314" s="349"/>
      <c r="BN314" s="349"/>
      <c r="BO314" s="349"/>
      <c r="BP314" s="349"/>
      <c r="BQ314" s="349"/>
      <c r="BR314" s="349"/>
      <c r="BS314" s="349"/>
    </row>
    <row r="315" spans="1:71" x14ac:dyDescent="0.3">
      <c r="A315" s="349"/>
      <c r="B315" s="349"/>
      <c r="C315" s="349"/>
      <c r="D315" s="349"/>
      <c r="E315" s="349"/>
      <c r="F315" s="349"/>
      <c r="G315" s="349"/>
      <c r="H315" s="349"/>
      <c r="I315" s="349"/>
      <c r="J315" s="349"/>
      <c r="K315" s="349"/>
      <c r="L315" s="349"/>
      <c r="M315" s="349"/>
      <c r="N315" s="349"/>
      <c r="O315" s="349"/>
      <c r="P315" s="349"/>
      <c r="Q315" s="349"/>
      <c r="R315" s="349"/>
      <c r="S315" s="349"/>
      <c r="T315" s="349"/>
      <c r="U315" s="349"/>
      <c r="V315" s="349"/>
      <c r="W315" s="349"/>
      <c r="X315" s="349"/>
      <c r="Y315" s="349"/>
      <c r="Z315" s="349"/>
      <c r="AA315" s="349"/>
      <c r="AB315" s="349"/>
      <c r="AC315" s="349"/>
      <c r="AD315" s="349"/>
      <c r="AE315" s="349"/>
      <c r="AF315" s="349"/>
      <c r="AG315" s="349"/>
      <c r="AH315" s="349"/>
      <c r="AI315" s="349"/>
      <c r="AJ315" s="349"/>
      <c r="AK315" s="349"/>
      <c r="AL315" s="349"/>
      <c r="AM315" s="349"/>
      <c r="AN315" s="349"/>
      <c r="AO315" s="349"/>
      <c r="AP315" s="349"/>
      <c r="AQ315" s="349"/>
      <c r="AR315" s="349"/>
      <c r="AS315" s="349"/>
      <c r="AT315" s="349"/>
      <c r="AU315" s="349"/>
      <c r="AV315" s="349"/>
      <c r="AW315" s="349"/>
      <c r="AX315" s="349"/>
      <c r="AY315" s="349"/>
      <c r="AZ315" s="349"/>
      <c r="BA315" s="349"/>
      <c r="BB315" s="349"/>
      <c r="BC315" s="349"/>
      <c r="BD315" s="349"/>
      <c r="BE315" s="349"/>
      <c r="BF315" s="349"/>
      <c r="BG315" s="349"/>
      <c r="BH315" s="349"/>
      <c r="BI315" s="349"/>
      <c r="BJ315" s="349"/>
      <c r="BK315" s="349"/>
      <c r="BL315" s="349"/>
      <c r="BM315" s="349"/>
      <c r="BN315" s="349"/>
      <c r="BO315" s="349"/>
      <c r="BP315" s="349"/>
      <c r="BQ315" s="349"/>
      <c r="BR315" s="349"/>
      <c r="BS315" s="349"/>
    </row>
    <row r="316" spans="1:71" x14ac:dyDescent="0.3">
      <c r="A316" s="349"/>
      <c r="B316" s="349"/>
      <c r="C316" s="349"/>
      <c r="D316" s="349"/>
      <c r="E316" s="349"/>
      <c r="F316" s="349"/>
      <c r="G316" s="349"/>
      <c r="H316" s="349"/>
      <c r="I316" s="349"/>
      <c r="J316" s="349"/>
      <c r="K316" s="349"/>
      <c r="L316" s="349"/>
      <c r="M316" s="349"/>
      <c r="N316" s="349"/>
      <c r="O316" s="349"/>
      <c r="P316" s="349"/>
      <c r="Q316" s="349"/>
      <c r="R316" s="349"/>
      <c r="S316" s="349"/>
      <c r="T316" s="349"/>
      <c r="U316" s="349"/>
      <c r="V316" s="349"/>
      <c r="W316" s="349"/>
      <c r="X316" s="349"/>
      <c r="Y316" s="349"/>
      <c r="Z316" s="349"/>
      <c r="AA316" s="349"/>
      <c r="AB316" s="349"/>
      <c r="AC316" s="349"/>
      <c r="AD316" s="349"/>
      <c r="AE316" s="349"/>
      <c r="AF316" s="349"/>
      <c r="AG316" s="349"/>
      <c r="AH316" s="349"/>
      <c r="AI316" s="349"/>
      <c r="AJ316" s="349"/>
      <c r="AK316" s="349"/>
      <c r="AL316" s="349"/>
      <c r="AM316" s="349"/>
      <c r="AN316" s="349"/>
      <c r="AO316" s="349"/>
      <c r="AP316" s="349"/>
      <c r="AQ316" s="349"/>
      <c r="AR316" s="349"/>
      <c r="AS316" s="349"/>
      <c r="AT316" s="349"/>
      <c r="AU316" s="349"/>
      <c r="AV316" s="349"/>
      <c r="AW316" s="349"/>
      <c r="AX316" s="349"/>
      <c r="AY316" s="349"/>
      <c r="AZ316" s="349"/>
      <c r="BA316" s="349"/>
      <c r="BB316" s="349"/>
      <c r="BC316" s="349"/>
      <c r="BD316" s="349"/>
      <c r="BE316" s="349"/>
      <c r="BF316" s="349"/>
      <c r="BG316" s="349"/>
      <c r="BH316" s="349"/>
      <c r="BI316" s="349"/>
      <c r="BJ316" s="349"/>
      <c r="BK316" s="349"/>
      <c r="BL316" s="349"/>
      <c r="BM316" s="349"/>
      <c r="BN316" s="349"/>
      <c r="BO316" s="349"/>
      <c r="BP316" s="349"/>
      <c r="BQ316" s="349"/>
      <c r="BR316" s="349"/>
      <c r="BS316" s="349"/>
    </row>
    <row r="317" spans="1:71" x14ac:dyDescent="0.3">
      <c r="A317" s="349"/>
      <c r="B317" s="349"/>
      <c r="C317" s="349"/>
      <c r="D317" s="349"/>
      <c r="E317" s="349"/>
      <c r="F317" s="349"/>
      <c r="G317" s="349"/>
      <c r="H317" s="349"/>
      <c r="I317" s="349"/>
      <c r="J317" s="349"/>
      <c r="K317" s="349"/>
      <c r="L317" s="349"/>
      <c r="M317" s="349"/>
      <c r="N317" s="349"/>
      <c r="O317" s="349"/>
      <c r="P317" s="349"/>
      <c r="Q317" s="349"/>
      <c r="R317" s="349"/>
      <c r="S317" s="349"/>
      <c r="T317" s="349"/>
      <c r="U317" s="349"/>
      <c r="V317" s="349"/>
      <c r="W317" s="349"/>
      <c r="X317" s="349"/>
      <c r="Y317" s="349"/>
      <c r="Z317" s="349"/>
      <c r="AA317" s="349"/>
      <c r="AB317" s="349"/>
      <c r="AC317" s="349"/>
      <c r="AD317" s="349"/>
      <c r="AE317" s="349"/>
      <c r="AF317" s="349"/>
      <c r="AG317" s="349"/>
      <c r="AH317" s="349"/>
      <c r="AI317" s="349"/>
      <c r="AJ317" s="349"/>
      <c r="AK317" s="349"/>
      <c r="AL317" s="349"/>
      <c r="AM317" s="349"/>
      <c r="AN317" s="349"/>
      <c r="AO317" s="349"/>
      <c r="AP317" s="349"/>
      <c r="AQ317" s="349"/>
      <c r="AR317" s="349"/>
      <c r="AS317" s="349"/>
      <c r="AT317" s="349"/>
      <c r="AU317" s="349"/>
      <c r="AV317" s="349"/>
      <c r="AW317" s="349"/>
      <c r="AX317" s="349"/>
      <c r="AY317" s="349"/>
      <c r="AZ317" s="349"/>
      <c r="BA317" s="349"/>
      <c r="BB317" s="349"/>
      <c r="BC317" s="349"/>
      <c r="BD317" s="349"/>
      <c r="BE317" s="349"/>
      <c r="BF317" s="349"/>
      <c r="BG317" s="349"/>
      <c r="BH317" s="349"/>
      <c r="BI317" s="349"/>
      <c r="BJ317" s="349"/>
      <c r="BK317" s="349"/>
      <c r="BL317" s="349"/>
      <c r="BM317" s="349"/>
      <c r="BN317" s="349"/>
      <c r="BO317" s="349"/>
      <c r="BP317" s="349"/>
      <c r="BQ317" s="349"/>
      <c r="BR317" s="349"/>
      <c r="BS317" s="349"/>
    </row>
    <row r="318" spans="1:71" x14ac:dyDescent="0.3">
      <c r="A318" s="349"/>
      <c r="B318" s="349"/>
      <c r="C318" s="349"/>
      <c r="D318" s="349"/>
      <c r="E318" s="349"/>
      <c r="F318" s="349"/>
      <c r="G318" s="349"/>
      <c r="H318" s="349"/>
      <c r="I318" s="349"/>
      <c r="J318" s="349"/>
      <c r="K318" s="349"/>
      <c r="L318" s="349"/>
      <c r="M318" s="349"/>
      <c r="N318" s="349"/>
      <c r="O318" s="349"/>
      <c r="P318" s="349"/>
      <c r="Q318" s="349"/>
      <c r="R318" s="349"/>
      <c r="S318" s="349"/>
      <c r="T318" s="349"/>
      <c r="U318" s="349"/>
      <c r="V318" s="349"/>
      <c r="W318" s="349"/>
      <c r="X318" s="349"/>
      <c r="Y318" s="349"/>
      <c r="Z318" s="349"/>
      <c r="AA318" s="349"/>
      <c r="AB318" s="349"/>
      <c r="AC318" s="349"/>
      <c r="AD318" s="349"/>
      <c r="AE318" s="349"/>
      <c r="AF318" s="349"/>
      <c r="AG318" s="349"/>
      <c r="AH318" s="349"/>
      <c r="AI318" s="349"/>
      <c r="AJ318" s="349"/>
      <c r="AK318" s="349"/>
      <c r="AL318" s="349"/>
      <c r="AM318" s="349"/>
      <c r="AN318" s="349"/>
      <c r="AO318" s="349"/>
      <c r="AP318" s="349"/>
      <c r="AQ318" s="349"/>
      <c r="AR318" s="349"/>
      <c r="AS318" s="349"/>
      <c r="AT318" s="349"/>
      <c r="AU318" s="349"/>
      <c r="AV318" s="349"/>
      <c r="AW318" s="349"/>
      <c r="AX318" s="349"/>
      <c r="AY318" s="349"/>
      <c r="AZ318" s="349"/>
      <c r="BA318" s="349"/>
      <c r="BB318" s="349"/>
      <c r="BC318" s="349"/>
      <c r="BD318" s="349"/>
      <c r="BE318" s="349"/>
      <c r="BF318" s="349"/>
      <c r="BG318" s="349"/>
      <c r="BH318" s="349"/>
      <c r="BI318" s="349"/>
      <c r="BJ318" s="349"/>
      <c r="BK318" s="349"/>
      <c r="BL318" s="349"/>
      <c r="BM318" s="349"/>
      <c r="BN318" s="349"/>
      <c r="BO318" s="349"/>
      <c r="BP318" s="349"/>
      <c r="BQ318" s="349"/>
      <c r="BR318" s="349"/>
      <c r="BS318" s="349"/>
    </row>
    <row r="319" spans="1:71" x14ac:dyDescent="0.3">
      <c r="A319" s="349"/>
      <c r="B319" s="349"/>
      <c r="C319" s="349"/>
      <c r="D319" s="349"/>
      <c r="E319" s="349"/>
      <c r="F319" s="349"/>
      <c r="G319" s="349"/>
      <c r="H319" s="349"/>
      <c r="I319" s="349"/>
      <c r="J319" s="349"/>
      <c r="K319" s="349"/>
      <c r="L319" s="349"/>
      <c r="M319" s="349"/>
      <c r="N319" s="349"/>
      <c r="O319" s="349"/>
      <c r="P319" s="349"/>
      <c r="Q319" s="349"/>
      <c r="R319" s="349"/>
      <c r="S319" s="349"/>
      <c r="T319" s="349"/>
      <c r="U319" s="349"/>
      <c r="V319" s="349"/>
      <c r="W319" s="349"/>
      <c r="X319" s="349"/>
      <c r="Y319" s="349"/>
      <c r="Z319" s="349"/>
      <c r="AA319" s="349"/>
      <c r="AB319" s="349"/>
      <c r="AC319" s="349"/>
      <c r="AD319" s="349"/>
      <c r="AE319" s="349"/>
      <c r="AF319" s="349"/>
      <c r="AG319" s="349"/>
      <c r="AH319" s="349"/>
      <c r="AI319" s="349"/>
      <c r="AJ319" s="349"/>
      <c r="AK319" s="349"/>
      <c r="AL319" s="349"/>
      <c r="AM319" s="349"/>
      <c r="AN319" s="349"/>
      <c r="AO319" s="349"/>
      <c r="AP319" s="349"/>
      <c r="AQ319" s="349"/>
      <c r="AR319" s="349"/>
      <c r="AS319" s="349"/>
      <c r="AT319" s="349"/>
      <c r="AU319" s="349"/>
      <c r="AV319" s="349"/>
      <c r="AW319" s="349"/>
      <c r="AX319" s="349"/>
      <c r="AY319" s="349"/>
      <c r="AZ319" s="349"/>
      <c r="BA319" s="349"/>
      <c r="BB319" s="349"/>
      <c r="BC319" s="349"/>
      <c r="BD319" s="349"/>
      <c r="BE319" s="349"/>
      <c r="BF319" s="349"/>
      <c r="BG319" s="349"/>
      <c r="BH319" s="349"/>
      <c r="BI319" s="349"/>
      <c r="BJ319" s="349"/>
      <c r="BK319" s="349"/>
      <c r="BL319" s="349"/>
      <c r="BM319" s="349"/>
      <c r="BN319" s="349"/>
      <c r="BO319" s="349"/>
      <c r="BP319" s="349"/>
      <c r="BQ319" s="349"/>
      <c r="BR319" s="349"/>
      <c r="BS319" s="349"/>
    </row>
    <row r="320" spans="1:71" x14ac:dyDescent="0.3">
      <c r="A320" s="349"/>
      <c r="B320" s="349"/>
      <c r="C320" s="349"/>
      <c r="D320" s="349"/>
      <c r="E320" s="349"/>
      <c r="F320" s="349"/>
      <c r="G320" s="349"/>
      <c r="H320" s="349"/>
      <c r="I320" s="349"/>
      <c r="J320" s="349"/>
      <c r="K320" s="349"/>
      <c r="L320" s="349"/>
      <c r="M320" s="349"/>
      <c r="N320" s="349"/>
      <c r="O320" s="349"/>
      <c r="P320" s="349"/>
      <c r="Q320" s="349"/>
      <c r="R320" s="349"/>
      <c r="S320" s="349"/>
      <c r="T320" s="349"/>
      <c r="U320" s="349"/>
      <c r="V320" s="349"/>
      <c r="W320" s="349"/>
      <c r="X320" s="349"/>
      <c r="Y320" s="349"/>
      <c r="Z320" s="349"/>
      <c r="AA320" s="349"/>
      <c r="AB320" s="349"/>
      <c r="AC320" s="349"/>
      <c r="AD320" s="349"/>
      <c r="AE320" s="349"/>
      <c r="AF320" s="349"/>
      <c r="AG320" s="349"/>
      <c r="AH320" s="349"/>
      <c r="AI320" s="349"/>
      <c r="AJ320" s="349"/>
      <c r="AK320" s="349"/>
      <c r="AL320" s="349"/>
      <c r="AM320" s="349"/>
      <c r="AN320" s="349"/>
      <c r="AO320" s="349"/>
      <c r="AP320" s="349"/>
      <c r="AQ320" s="349"/>
      <c r="AR320" s="349"/>
      <c r="AS320" s="349"/>
      <c r="AT320" s="349"/>
      <c r="AU320" s="349"/>
      <c r="AV320" s="349"/>
      <c r="AW320" s="349"/>
      <c r="AX320" s="349"/>
      <c r="AY320" s="349"/>
      <c r="AZ320" s="349"/>
      <c r="BA320" s="349"/>
      <c r="BB320" s="349"/>
      <c r="BC320" s="349"/>
      <c r="BD320" s="349"/>
      <c r="BE320" s="349"/>
      <c r="BF320" s="349"/>
      <c r="BG320" s="349"/>
      <c r="BH320" s="349"/>
      <c r="BI320" s="349"/>
      <c r="BJ320" s="349"/>
      <c r="BK320" s="349"/>
      <c r="BL320" s="349"/>
      <c r="BM320" s="349"/>
      <c r="BN320" s="349"/>
      <c r="BO320" s="349"/>
      <c r="BP320" s="349"/>
      <c r="BQ320" s="349"/>
      <c r="BR320" s="349"/>
      <c r="BS320" s="349"/>
    </row>
    <row r="321" spans="1:71" x14ac:dyDescent="0.3">
      <c r="A321" s="349"/>
      <c r="B321" s="349"/>
      <c r="C321" s="349"/>
      <c r="D321" s="349"/>
      <c r="E321" s="349"/>
      <c r="F321" s="349"/>
      <c r="G321" s="349"/>
      <c r="H321" s="349"/>
      <c r="I321" s="349"/>
      <c r="J321" s="349"/>
      <c r="K321" s="349"/>
      <c r="L321" s="349"/>
      <c r="M321" s="349"/>
      <c r="N321" s="349"/>
      <c r="O321" s="349"/>
      <c r="P321" s="349"/>
      <c r="Q321" s="349"/>
      <c r="R321" s="349"/>
      <c r="S321" s="349"/>
      <c r="T321" s="349"/>
      <c r="U321" s="349"/>
      <c r="V321" s="349"/>
      <c r="W321" s="349"/>
      <c r="X321" s="349"/>
      <c r="Y321" s="349"/>
      <c r="Z321" s="349"/>
      <c r="AA321" s="349"/>
      <c r="AB321" s="349"/>
      <c r="AC321" s="349"/>
      <c r="AD321" s="349"/>
      <c r="AE321" s="349"/>
      <c r="AF321" s="349"/>
      <c r="AG321" s="349"/>
      <c r="AH321" s="349"/>
      <c r="AI321" s="349"/>
      <c r="AJ321" s="349"/>
      <c r="AK321" s="349"/>
      <c r="AL321" s="349"/>
      <c r="AM321" s="349"/>
      <c r="AN321" s="349"/>
      <c r="AO321" s="349"/>
      <c r="AP321" s="349"/>
      <c r="AQ321" s="349"/>
      <c r="AR321" s="349"/>
      <c r="AS321" s="349"/>
      <c r="AT321" s="349"/>
      <c r="AU321" s="349"/>
      <c r="AV321" s="349"/>
      <c r="AW321" s="349"/>
      <c r="AX321" s="349"/>
      <c r="AY321" s="349"/>
      <c r="AZ321" s="349"/>
      <c r="BA321" s="349"/>
      <c r="BB321" s="349"/>
      <c r="BC321" s="349"/>
      <c r="BD321" s="349"/>
      <c r="BE321" s="349"/>
      <c r="BF321" s="349"/>
      <c r="BG321" s="349"/>
      <c r="BH321" s="349"/>
      <c r="BI321" s="349"/>
      <c r="BJ321" s="349"/>
      <c r="BK321" s="349"/>
      <c r="BL321" s="349"/>
      <c r="BM321" s="349"/>
      <c r="BN321" s="349"/>
      <c r="BO321" s="349"/>
      <c r="BP321" s="349"/>
      <c r="BQ321" s="349"/>
      <c r="BR321" s="349"/>
      <c r="BS321" s="349"/>
    </row>
    <row r="322" spans="1:71" x14ac:dyDescent="0.3">
      <c r="A322" s="349"/>
      <c r="B322" s="349"/>
      <c r="C322" s="349"/>
      <c r="D322" s="349"/>
      <c r="E322" s="349"/>
      <c r="F322" s="349"/>
      <c r="G322" s="349"/>
      <c r="H322" s="349"/>
      <c r="I322" s="349"/>
      <c r="J322" s="349"/>
      <c r="K322" s="349"/>
      <c r="L322" s="349"/>
      <c r="M322" s="349"/>
      <c r="N322" s="349"/>
      <c r="O322" s="349"/>
      <c r="P322" s="349"/>
      <c r="Q322" s="349"/>
      <c r="R322" s="349"/>
      <c r="S322" s="349"/>
      <c r="T322" s="349"/>
      <c r="U322" s="349"/>
      <c r="V322" s="349"/>
      <c r="W322" s="349"/>
      <c r="X322" s="349"/>
      <c r="Y322" s="349"/>
      <c r="Z322" s="349"/>
      <c r="AA322" s="349"/>
      <c r="AB322" s="349"/>
      <c r="AC322" s="349"/>
      <c r="AD322" s="349"/>
      <c r="AE322" s="349"/>
      <c r="AF322" s="349"/>
      <c r="AG322" s="349"/>
      <c r="AH322" s="349"/>
      <c r="AI322" s="349"/>
      <c r="AJ322" s="349"/>
      <c r="AK322" s="349"/>
      <c r="AL322" s="349"/>
      <c r="AM322" s="349"/>
      <c r="AN322" s="349"/>
      <c r="AO322" s="349"/>
      <c r="AP322" s="349"/>
      <c r="AQ322" s="349"/>
      <c r="AR322" s="349"/>
      <c r="AS322" s="349"/>
      <c r="AT322" s="349"/>
      <c r="AU322" s="349"/>
      <c r="AV322" s="349"/>
      <c r="AW322" s="349"/>
      <c r="AX322" s="349"/>
      <c r="AY322" s="349"/>
      <c r="AZ322" s="349"/>
      <c r="BA322" s="349"/>
      <c r="BB322" s="349"/>
      <c r="BC322" s="349"/>
      <c r="BD322" s="349"/>
      <c r="BE322" s="349"/>
      <c r="BF322" s="349"/>
      <c r="BG322" s="349"/>
      <c r="BH322" s="349"/>
      <c r="BI322" s="349"/>
      <c r="BJ322" s="349"/>
      <c r="BK322" s="349"/>
      <c r="BL322" s="349"/>
      <c r="BM322" s="349"/>
      <c r="BN322" s="349"/>
      <c r="BO322" s="349"/>
      <c r="BP322" s="349"/>
      <c r="BQ322" s="349"/>
      <c r="BR322" s="349"/>
      <c r="BS322" s="349"/>
    </row>
    <row r="323" spans="1:71" x14ac:dyDescent="0.3">
      <c r="A323" s="349"/>
      <c r="B323" s="349"/>
      <c r="C323" s="349"/>
      <c r="D323" s="349"/>
      <c r="E323" s="349"/>
      <c r="F323" s="349"/>
      <c r="G323" s="349"/>
      <c r="H323" s="349"/>
      <c r="I323" s="349"/>
      <c r="J323" s="349"/>
      <c r="K323" s="349"/>
      <c r="L323" s="349"/>
      <c r="M323" s="349"/>
      <c r="N323" s="349"/>
      <c r="O323" s="349"/>
      <c r="P323" s="349"/>
      <c r="Q323" s="349"/>
      <c r="R323" s="349"/>
      <c r="S323" s="349"/>
      <c r="T323" s="349"/>
      <c r="U323" s="349"/>
      <c r="V323" s="349"/>
      <c r="W323" s="349"/>
      <c r="X323" s="349"/>
      <c r="Y323" s="349"/>
      <c r="Z323" s="349"/>
      <c r="AA323" s="349"/>
      <c r="AB323" s="349"/>
      <c r="AC323" s="349"/>
      <c r="AD323" s="349"/>
      <c r="AE323" s="349"/>
      <c r="AF323" s="349"/>
      <c r="AG323" s="349"/>
      <c r="AH323" s="349"/>
      <c r="AI323" s="349"/>
      <c r="AJ323" s="349"/>
      <c r="AK323" s="349"/>
      <c r="AL323" s="349"/>
      <c r="AM323" s="349"/>
      <c r="AN323" s="349"/>
      <c r="AO323" s="349"/>
      <c r="AP323" s="349"/>
      <c r="AQ323" s="349"/>
      <c r="AR323" s="349"/>
      <c r="AS323" s="349"/>
      <c r="AT323" s="349"/>
      <c r="AU323" s="349"/>
      <c r="AV323" s="349"/>
      <c r="AW323" s="349"/>
      <c r="AX323" s="349"/>
      <c r="AY323" s="349"/>
      <c r="AZ323" s="349"/>
      <c r="BA323" s="349"/>
      <c r="BB323" s="349"/>
      <c r="BC323" s="349"/>
      <c r="BD323" s="349"/>
      <c r="BE323" s="349"/>
      <c r="BF323" s="349"/>
      <c r="BG323" s="349"/>
      <c r="BH323" s="349"/>
      <c r="BI323" s="349"/>
      <c r="BJ323" s="349"/>
      <c r="BK323" s="349"/>
      <c r="BL323" s="349"/>
      <c r="BM323" s="349"/>
      <c r="BN323" s="349"/>
      <c r="BO323" s="349"/>
      <c r="BP323" s="349"/>
      <c r="BQ323" s="349"/>
      <c r="BR323" s="349"/>
      <c r="BS323" s="349"/>
    </row>
    <row r="324" spans="1:71" x14ac:dyDescent="0.3">
      <c r="A324" s="349"/>
      <c r="B324" s="349"/>
      <c r="C324" s="349"/>
      <c r="D324" s="349"/>
      <c r="E324" s="349"/>
      <c r="F324" s="349"/>
      <c r="G324" s="349"/>
      <c r="H324" s="349"/>
      <c r="I324" s="349"/>
      <c r="J324" s="349"/>
      <c r="K324" s="349"/>
      <c r="L324" s="349"/>
      <c r="M324" s="349"/>
      <c r="N324" s="349"/>
      <c r="O324" s="349"/>
      <c r="P324" s="349"/>
      <c r="Q324" s="349"/>
      <c r="R324" s="349"/>
      <c r="S324" s="349"/>
      <c r="T324" s="349"/>
      <c r="U324" s="349"/>
      <c r="V324" s="349"/>
      <c r="W324" s="349"/>
      <c r="X324" s="349"/>
      <c r="Y324" s="349"/>
      <c r="Z324" s="349"/>
      <c r="AA324" s="349"/>
      <c r="AB324" s="349"/>
      <c r="AC324" s="349"/>
      <c r="AD324" s="349"/>
      <c r="AE324" s="349"/>
      <c r="AF324" s="349"/>
      <c r="AG324" s="349"/>
      <c r="AH324" s="349"/>
      <c r="AI324" s="349"/>
      <c r="AJ324" s="349"/>
      <c r="AK324" s="349"/>
      <c r="AL324" s="349"/>
      <c r="AM324" s="349"/>
      <c r="AN324" s="349"/>
      <c r="AO324" s="349"/>
      <c r="AP324" s="349"/>
      <c r="AQ324" s="349"/>
      <c r="AR324" s="349"/>
      <c r="AS324" s="349"/>
      <c r="AT324" s="349"/>
      <c r="AU324" s="349"/>
      <c r="AV324" s="349"/>
      <c r="AW324" s="349"/>
      <c r="AX324" s="349"/>
      <c r="AY324" s="349"/>
      <c r="AZ324" s="349"/>
      <c r="BA324" s="349"/>
      <c r="BB324" s="349"/>
      <c r="BC324" s="349"/>
      <c r="BD324" s="349"/>
      <c r="BE324" s="349"/>
      <c r="BF324" s="349"/>
      <c r="BG324" s="349"/>
      <c r="BH324" s="349"/>
      <c r="BI324" s="349"/>
      <c r="BJ324" s="349"/>
      <c r="BK324" s="349"/>
      <c r="BL324" s="349"/>
      <c r="BM324" s="349"/>
      <c r="BN324" s="349"/>
      <c r="BO324" s="349"/>
      <c r="BP324" s="349"/>
      <c r="BQ324" s="349"/>
      <c r="BR324" s="349"/>
      <c r="BS324" s="349"/>
    </row>
    <row r="325" spans="1:71" x14ac:dyDescent="0.3">
      <c r="A325" s="349"/>
      <c r="B325" s="349"/>
      <c r="C325" s="349"/>
      <c r="D325" s="349"/>
      <c r="E325" s="349"/>
      <c r="F325" s="349"/>
      <c r="G325" s="349"/>
      <c r="H325" s="349"/>
      <c r="I325" s="349"/>
      <c r="J325" s="349"/>
      <c r="K325" s="349"/>
      <c r="L325" s="349"/>
      <c r="M325" s="349"/>
      <c r="N325" s="349"/>
      <c r="O325" s="349"/>
      <c r="P325" s="349"/>
      <c r="Q325" s="349"/>
      <c r="R325" s="349"/>
      <c r="S325" s="349"/>
      <c r="T325" s="349"/>
      <c r="U325" s="349"/>
      <c r="V325" s="349"/>
      <c r="W325" s="349"/>
      <c r="X325" s="349"/>
      <c r="Y325" s="349"/>
      <c r="Z325" s="349"/>
      <c r="AA325" s="349"/>
      <c r="AB325" s="349"/>
      <c r="AC325" s="349"/>
      <c r="AD325" s="349"/>
      <c r="AE325" s="349"/>
      <c r="AF325" s="349"/>
      <c r="AG325" s="349"/>
      <c r="AH325" s="349"/>
      <c r="AI325" s="349"/>
      <c r="AJ325" s="349"/>
      <c r="AK325" s="349"/>
      <c r="AL325" s="349"/>
      <c r="AM325" s="349"/>
      <c r="AN325" s="349"/>
      <c r="AO325" s="349"/>
      <c r="AP325" s="349"/>
      <c r="AQ325" s="349"/>
      <c r="AR325" s="349"/>
      <c r="AS325" s="349"/>
      <c r="AT325" s="349"/>
      <c r="AU325" s="349"/>
      <c r="AV325" s="349"/>
      <c r="AW325" s="349"/>
      <c r="AX325" s="349"/>
      <c r="AY325" s="349"/>
      <c r="AZ325" s="349"/>
      <c r="BA325" s="349"/>
      <c r="BB325" s="349"/>
      <c r="BC325" s="349"/>
      <c r="BD325" s="349"/>
      <c r="BE325" s="349"/>
      <c r="BF325" s="349"/>
      <c r="BG325" s="349"/>
      <c r="BH325" s="349"/>
      <c r="BI325" s="349"/>
      <c r="BJ325" s="349"/>
      <c r="BK325" s="349"/>
      <c r="BL325" s="349"/>
      <c r="BM325" s="349"/>
      <c r="BN325" s="349"/>
      <c r="BO325" s="349"/>
      <c r="BP325" s="349"/>
      <c r="BQ325" s="349"/>
      <c r="BR325" s="349"/>
      <c r="BS325" s="349"/>
    </row>
    <row r="326" spans="1:71" x14ac:dyDescent="0.3">
      <c r="A326" s="349"/>
      <c r="B326" s="349"/>
      <c r="C326" s="349"/>
      <c r="D326" s="349"/>
      <c r="E326" s="349"/>
      <c r="F326" s="349"/>
      <c r="G326" s="349"/>
      <c r="H326" s="349"/>
      <c r="I326" s="349"/>
      <c r="J326" s="349"/>
      <c r="K326" s="349"/>
      <c r="L326" s="349"/>
      <c r="M326" s="349"/>
      <c r="N326" s="349"/>
      <c r="O326" s="349"/>
      <c r="P326" s="349"/>
      <c r="Q326" s="349"/>
      <c r="R326" s="349"/>
      <c r="S326" s="349"/>
      <c r="T326" s="349"/>
      <c r="U326" s="349"/>
      <c r="V326" s="349"/>
      <c r="W326" s="349"/>
      <c r="X326" s="349"/>
      <c r="Y326" s="349"/>
      <c r="Z326" s="349"/>
      <c r="AA326" s="349"/>
      <c r="AB326" s="349"/>
      <c r="AC326" s="349"/>
      <c r="AD326" s="349"/>
      <c r="AE326" s="349"/>
      <c r="AF326" s="349"/>
      <c r="AG326" s="349"/>
      <c r="AH326" s="349"/>
      <c r="AI326" s="349"/>
      <c r="AJ326" s="349"/>
      <c r="AK326" s="349"/>
      <c r="AL326" s="349"/>
      <c r="AM326" s="349"/>
      <c r="AN326" s="349"/>
      <c r="AO326" s="349"/>
      <c r="AP326" s="349"/>
      <c r="AQ326" s="349"/>
      <c r="AR326" s="349"/>
      <c r="AS326" s="349"/>
      <c r="AT326" s="349"/>
      <c r="AU326" s="349"/>
      <c r="AV326" s="349"/>
      <c r="AW326" s="349"/>
      <c r="AX326" s="349"/>
      <c r="AY326" s="349"/>
      <c r="AZ326" s="349"/>
      <c r="BA326" s="349"/>
      <c r="BB326" s="349"/>
      <c r="BC326" s="349"/>
      <c r="BD326" s="349"/>
      <c r="BE326" s="349"/>
      <c r="BF326" s="349"/>
      <c r="BG326" s="349"/>
      <c r="BH326" s="349"/>
      <c r="BI326" s="349"/>
      <c r="BJ326" s="349"/>
      <c r="BK326" s="349"/>
      <c r="BL326" s="349"/>
      <c r="BM326" s="349"/>
      <c r="BN326" s="349"/>
      <c r="BO326" s="349"/>
      <c r="BP326" s="349"/>
      <c r="BQ326" s="349"/>
      <c r="BR326" s="349"/>
      <c r="BS326" s="349"/>
    </row>
    <row r="327" spans="1:71" x14ac:dyDescent="0.3">
      <c r="A327" s="349"/>
      <c r="B327" s="349"/>
      <c r="C327" s="349"/>
      <c r="D327" s="349"/>
      <c r="E327" s="349"/>
      <c r="F327" s="349"/>
      <c r="G327" s="349"/>
      <c r="H327" s="349"/>
      <c r="I327" s="349"/>
      <c r="J327" s="349"/>
      <c r="K327" s="349"/>
      <c r="L327" s="349"/>
      <c r="M327" s="349"/>
      <c r="N327" s="349"/>
      <c r="O327" s="349"/>
      <c r="P327" s="349"/>
      <c r="Q327" s="349"/>
      <c r="R327" s="349"/>
      <c r="S327" s="349"/>
      <c r="T327" s="349"/>
      <c r="U327" s="349"/>
      <c r="V327" s="349"/>
      <c r="W327" s="349"/>
      <c r="X327" s="349"/>
      <c r="Y327" s="349"/>
      <c r="Z327" s="349"/>
      <c r="AA327" s="349"/>
      <c r="AB327" s="349"/>
      <c r="AC327" s="349"/>
      <c r="AD327" s="349"/>
      <c r="AE327" s="349"/>
      <c r="AF327" s="349"/>
      <c r="AG327" s="349"/>
      <c r="AH327" s="349"/>
      <c r="AI327" s="349"/>
      <c r="AJ327" s="349"/>
      <c r="AK327" s="349"/>
      <c r="AL327" s="349"/>
      <c r="AM327" s="349"/>
      <c r="AN327" s="349"/>
      <c r="AO327" s="349"/>
      <c r="AP327" s="349"/>
      <c r="AQ327" s="349"/>
      <c r="AR327" s="349"/>
      <c r="AS327" s="349"/>
      <c r="AT327" s="349"/>
      <c r="AU327" s="349"/>
      <c r="AV327" s="349"/>
      <c r="AW327" s="349"/>
      <c r="AX327" s="349"/>
      <c r="AY327" s="349"/>
      <c r="AZ327" s="349"/>
      <c r="BA327" s="349"/>
      <c r="BB327" s="349"/>
      <c r="BC327" s="349"/>
      <c r="BD327" s="349"/>
      <c r="BE327" s="349"/>
      <c r="BF327" s="349"/>
      <c r="BG327" s="349"/>
      <c r="BH327" s="349"/>
      <c r="BI327" s="349"/>
      <c r="BJ327" s="349"/>
      <c r="BK327" s="349"/>
      <c r="BL327" s="349"/>
      <c r="BM327" s="349"/>
      <c r="BN327" s="349"/>
      <c r="BO327" s="349"/>
      <c r="BP327" s="349"/>
      <c r="BQ327" s="349"/>
      <c r="BR327" s="349"/>
      <c r="BS327" s="349"/>
    </row>
    <row r="328" spans="1:71" x14ac:dyDescent="0.3">
      <c r="A328" s="349"/>
      <c r="B328" s="349"/>
      <c r="C328" s="349"/>
      <c r="D328" s="349"/>
      <c r="E328" s="349"/>
      <c r="F328" s="349"/>
      <c r="G328" s="349"/>
      <c r="H328" s="349"/>
      <c r="I328" s="349"/>
      <c r="J328" s="349"/>
      <c r="K328" s="349"/>
      <c r="L328" s="349"/>
      <c r="M328" s="349"/>
      <c r="N328" s="349"/>
      <c r="O328" s="349"/>
      <c r="P328" s="349"/>
      <c r="Q328" s="349"/>
      <c r="R328" s="349"/>
      <c r="S328" s="349"/>
      <c r="T328" s="349"/>
      <c r="U328" s="349"/>
      <c r="V328" s="349"/>
      <c r="W328" s="349"/>
      <c r="X328" s="349"/>
      <c r="Y328" s="349"/>
      <c r="Z328" s="349"/>
      <c r="AA328" s="349"/>
      <c r="AB328" s="349"/>
      <c r="AC328" s="349"/>
      <c r="AD328" s="349"/>
      <c r="AE328" s="349"/>
      <c r="AF328" s="349"/>
      <c r="AG328" s="349"/>
      <c r="AH328" s="349"/>
      <c r="AI328" s="349"/>
      <c r="AJ328" s="349"/>
      <c r="AK328" s="349"/>
      <c r="AL328" s="349"/>
      <c r="AM328" s="349"/>
      <c r="AN328" s="349"/>
      <c r="AO328" s="349"/>
      <c r="AP328" s="349"/>
      <c r="AQ328" s="349"/>
      <c r="AR328" s="349"/>
      <c r="AS328" s="349"/>
      <c r="AT328" s="349"/>
      <c r="AU328" s="349"/>
      <c r="AV328" s="349"/>
      <c r="AW328" s="349"/>
      <c r="AX328" s="349"/>
      <c r="AY328" s="349"/>
      <c r="AZ328" s="349"/>
      <c r="BA328" s="349"/>
      <c r="BB328" s="349"/>
      <c r="BC328" s="349"/>
      <c r="BD328" s="349"/>
      <c r="BE328" s="349"/>
      <c r="BF328" s="349"/>
      <c r="BG328" s="349"/>
      <c r="BH328" s="349"/>
      <c r="BI328" s="349"/>
      <c r="BJ328" s="349"/>
      <c r="BK328" s="349"/>
      <c r="BL328" s="349"/>
      <c r="BM328" s="349"/>
      <c r="BN328" s="349"/>
      <c r="BO328" s="349"/>
      <c r="BP328" s="349"/>
      <c r="BQ328" s="349"/>
      <c r="BR328" s="349"/>
      <c r="BS328" s="349"/>
    </row>
    <row r="329" spans="1:71" x14ac:dyDescent="0.3">
      <c r="A329" s="349"/>
      <c r="B329" s="349"/>
      <c r="C329" s="349"/>
      <c r="D329" s="349"/>
      <c r="E329" s="349"/>
      <c r="F329" s="349"/>
      <c r="G329" s="349"/>
      <c r="H329" s="349"/>
      <c r="I329" s="349"/>
      <c r="J329" s="349"/>
      <c r="K329" s="349"/>
      <c r="L329" s="349"/>
      <c r="M329" s="349"/>
      <c r="N329" s="349"/>
      <c r="O329" s="349"/>
      <c r="P329" s="349"/>
      <c r="Q329" s="349"/>
      <c r="R329" s="349"/>
      <c r="S329" s="349"/>
      <c r="T329" s="349"/>
      <c r="U329" s="349"/>
      <c r="V329" s="349"/>
      <c r="W329" s="349"/>
      <c r="X329" s="349"/>
      <c r="Y329" s="349"/>
      <c r="Z329" s="349"/>
      <c r="AA329" s="349"/>
      <c r="AB329" s="349"/>
      <c r="AC329" s="349"/>
      <c r="AD329" s="349"/>
      <c r="AE329" s="349"/>
      <c r="AF329" s="349"/>
      <c r="AG329" s="349"/>
      <c r="AH329" s="349"/>
      <c r="AI329" s="349"/>
      <c r="AJ329" s="349"/>
      <c r="AK329" s="349"/>
      <c r="AL329" s="349"/>
      <c r="AM329" s="349"/>
      <c r="AN329" s="349"/>
      <c r="AO329" s="349"/>
      <c r="AP329" s="349"/>
      <c r="AQ329" s="349"/>
      <c r="AR329" s="349"/>
      <c r="AS329" s="349"/>
      <c r="AT329" s="349"/>
      <c r="AU329" s="349"/>
      <c r="AV329" s="349"/>
      <c r="AW329" s="349"/>
      <c r="AX329" s="349"/>
      <c r="AY329" s="349"/>
      <c r="AZ329" s="349"/>
      <c r="BA329" s="349"/>
      <c r="BB329" s="349"/>
      <c r="BC329" s="349"/>
      <c r="BD329" s="349"/>
      <c r="BE329" s="349"/>
      <c r="BF329" s="349"/>
      <c r="BG329" s="349"/>
      <c r="BH329" s="349"/>
      <c r="BI329" s="349"/>
      <c r="BJ329" s="349"/>
      <c r="BK329" s="349"/>
      <c r="BL329" s="349"/>
      <c r="BM329" s="349"/>
      <c r="BN329" s="349"/>
      <c r="BO329" s="349"/>
      <c r="BP329" s="349"/>
      <c r="BQ329" s="349"/>
      <c r="BR329" s="349"/>
      <c r="BS329" s="349"/>
    </row>
    <row r="330" spans="1:71" x14ac:dyDescent="0.3">
      <c r="A330" s="349"/>
      <c r="B330" s="349"/>
      <c r="C330" s="349"/>
      <c r="D330" s="349"/>
      <c r="E330" s="349"/>
      <c r="F330" s="349"/>
      <c r="G330" s="349"/>
      <c r="H330" s="349"/>
      <c r="I330" s="349"/>
      <c r="J330" s="349"/>
      <c r="K330" s="349"/>
      <c r="L330" s="349"/>
      <c r="M330" s="349"/>
      <c r="N330" s="349"/>
      <c r="O330" s="349"/>
      <c r="P330" s="349"/>
      <c r="Q330" s="349"/>
      <c r="R330" s="349"/>
      <c r="S330" s="349"/>
      <c r="T330" s="349"/>
      <c r="U330" s="349"/>
      <c r="V330" s="349"/>
      <c r="W330" s="349"/>
      <c r="X330" s="349"/>
      <c r="Y330" s="349"/>
      <c r="Z330" s="349"/>
      <c r="AA330" s="349"/>
      <c r="AB330" s="349"/>
      <c r="AC330" s="349"/>
      <c r="AD330" s="349"/>
      <c r="AE330" s="349"/>
      <c r="AF330" s="349"/>
      <c r="AG330" s="349"/>
      <c r="AH330" s="349"/>
      <c r="AI330" s="349"/>
      <c r="AJ330" s="349"/>
      <c r="AK330" s="349"/>
      <c r="AL330" s="349"/>
      <c r="AM330" s="349"/>
      <c r="AN330" s="349"/>
      <c r="AO330" s="349"/>
      <c r="AP330" s="349"/>
      <c r="AQ330" s="349"/>
      <c r="AR330" s="349"/>
      <c r="AS330" s="349"/>
      <c r="AT330" s="349"/>
      <c r="AU330" s="349"/>
      <c r="AV330" s="349"/>
      <c r="AW330" s="349"/>
      <c r="AX330" s="349"/>
      <c r="AY330" s="349"/>
      <c r="AZ330" s="349"/>
      <c r="BA330" s="349"/>
      <c r="BB330" s="349"/>
      <c r="BC330" s="349"/>
      <c r="BD330" s="349"/>
      <c r="BE330" s="349"/>
      <c r="BF330" s="349"/>
      <c r="BG330" s="349"/>
      <c r="BH330" s="349"/>
      <c r="BI330" s="349"/>
      <c r="BJ330" s="349"/>
      <c r="BK330" s="349"/>
      <c r="BL330" s="349"/>
      <c r="BM330" s="349"/>
      <c r="BN330" s="349"/>
      <c r="BO330" s="349"/>
      <c r="BP330" s="349"/>
      <c r="BQ330" s="349"/>
      <c r="BR330" s="349"/>
      <c r="BS330" s="349"/>
    </row>
    <row r="331" spans="1:71" x14ac:dyDescent="0.3">
      <c r="A331" s="349"/>
      <c r="B331" s="349"/>
      <c r="C331" s="349"/>
      <c r="D331" s="349"/>
      <c r="E331" s="349"/>
      <c r="F331" s="349"/>
      <c r="G331" s="349"/>
      <c r="H331" s="349"/>
      <c r="I331" s="349"/>
      <c r="J331" s="349"/>
      <c r="K331" s="349"/>
      <c r="L331" s="349"/>
      <c r="M331" s="349"/>
      <c r="N331" s="349"/>
      <c r="O331" s="349"/>
      <c r="P331" s="349"/>
      <c r="Q331" s="349"/>
      <c r="R331" s="349"/>
      <c r="S331" s="349"/>
      <c r="T331" s="349"/>
      <c r="U331" s="349"/>
      <c r="V331" s="349"/>
      <c r="W331" s="349"/>
      <c r="X331" s="349"/>
      <c r="Y331" s="349"/>
      <c r="Z331" s="349"/>
      <c r="AA331" s="349"/>
      <c r="AB331" s="349"/>
      <c r="AC331" s="349"/>
      <c r="AD331" s="349"/>
      <c r="AE331" s="349"/>
      <c r="AF331" s="349"/>
      <c r="AG331" s="349"/>
      <c r="AH331" s="349"/>
      <c r="AI331" s="349"/>
      <c r="AJ331" s="349"/>
      <c r="AK331" s="349"/>
      <c r="AL331" s="349"/>
      <c r="AM331" s="349"/>
      <c r="AN331" s="349"/>
      <c r="AO331" s="349"/>
      <c r="AP331" s="349"/>
      <c r="AQ331" s="349"/>
      <c r="AR331" s="349"/>
      <c r="AS331" s="349"/>
      <c r="AT331" s="349"/>
      <c r="AU331" s="349"/>
      <c r="AV331" s="349"/>
      <c r="AW331" s="349"/>
      <c r="AX331" s="349"/>
      <c r="AY331" s="349"/>
      <c r="AZ331" s="349"/>
      <c r="BA331" s="349"/>
      <c r="BB331" s="349"/>
      <c r="BC331" s="349"/>
      <c r="BD331" s="349"/>
      <c r="BE331" s="349"/>
      <c r="BF331" s="349"/>
      <c r="BG331" s="349"/>
      <c r="BH331" s="349"/>
      <c r="BI331" s="349"/>
      <c r="BJ331" s="349"/>
      <c r="BK331" s="349"/>
      <c r="BL331" s="349"/>
      <c r="BM331" s="349"/>
      <c r="BN331" s="349"/>
      <c r="BO331" s="349"/>
      <c r="BP331" s="349"/>
      <c r="BQ331" s="349"/>
      <c r="BR331" s="349"/>
      <c r="BS331" s="349"/>
    </row>
    <row r="332" spans="1:71" x14ac:dyDescent="0.3">
      <c r="A332" s="349"/>
      <c r="B332" s="349"/>
      <c r="C332" s="349"/>
      <c r="D332" s="349"/>
      <c r="E332" s="349"/>
      <c r="F332" s="349"/>
      <c r="G332" s="349"/>
      <c r="H332" s="349"/>
      <c r="I332" s="349"/>
      <c r="J332" s="349"/>
      <c r="K332" s="349"/>
      <c r="L332" s="349"/>
      <c r="M332" s="349"/>
      <c r="N332" s="349"/>
      <c r="O332" s="349"/>
      <c r="P332" s="349"/>
      <c r="Q332" s="349"/>
      <c r="R332" s="349"/>
      <c r="S332" s="349"/>
      <c r="T332" s="349"/>
      <c r="U332" s="349"/>
      <c r="V332" s="349"/>
      <c r="W332" s="349"/>
      <c r="X332" s="349"/>
      <c r="Y332" s="349"/>
      <c r="Z332" s="349"/>
      <c r="AA332" s="349"/>
      <c r="AB332" s="349"/>
      <c r="AC332" s="349"/>
      <c r="AD332" s="349"/>
      <c r="AE332" s="349"/>
      <c r="AF332" s="349"/>
      <c r="AG332" s="349"/>
      <c r="AH332" s="349"/>
      <c r="AI332" s="349"/>
      <c r="AJ332" s="349"/>
      <c r="AK332" s="349"/>
      <c r="AL332" s="349"/>
      <c r="AM332" s="349"/>
      <c r="AN332" s="349"/>
      <c r="AO332" s="349"/>
      <c r="AP332" s="349"/>
      <c r="AQ332" s="349"/>
      <c r="AR332" s="349"/>
      <c r="AS332" s="349"/>
      <c r="AT332" s="349"/>
      <c r="AU332" s="349"/>
      <c r="AV332" s="349"/>
      <c r="AW332" s="349"/>
      <c r="AX332" s="349"/>
      <c r="AY332" s="349"/>
      <c r="AZ332" s="349"/>
      <c r="BA332" s="349"/>
      <c r="BB332" s="349"/>
      <c r="BC332" s="349"/>
      <c r="BD332" s="349"/>
      <c r="BE332" s="349"/>
      <c r="BF332" s="349"/>
      <c r="BG332" s="349"/>
      <c r="BH332" s="349"/>
      <c r="BI332" s="349"/>
      <c r="BJ332" s="349"/>
      <c r="BK332" s="349"/>
      <c r="BL332" s="349"/>
      <c r="BM332" s="349"/>
      <c r="BN332" s="349"/>
      <c r="BO332" s="349"/>
      <c r="BP332" s="349"/>
      <c r="BQ332" s="349"/>
      <c r="BR332" s="349"/>
      <c r="BS332" s="349"/>
    </row>
    <row r="333" spans="1:71" x14ac:dyDescent="0.3">
      <c r="A333" s="349"/>
      <c r="B333" s="349"/>
      <c r="C333" s="349"/>
      <c r="D333" s="349"/>
      <c r="E333" s="349"/>
      <c r="F333" s="349"/>
      <c r="G333" s="349"/>
      <c r="H333" s="349"/>
      <c r="I333" s="349"/>
      <c r="J333" s="349"/>
      <c r="K333" s="349"/>
      <c r="L333" s="349"/>
      <c r="M333" s="349"/>
      <c r="N333" s="349"/>
      <c r="O333" s="349"/>
      <c r="P333" s="349"/>
      <c r="Q333" s="349"/>
      <c r="R333" s="349"/>
      <c r="S333" s="349"/>
      <c r="T333" s="349"/>
      <c r="U333" s="349"/>
      <c r="V333" s="349"/>
      <c r="W333" s="349"/>
      <c r="X333" s="349"/>
      <c r="Y333" s="349"/>
      <c r="Z333" s="349"/>
      <c r="AA333" s="349"/>
      <c r="AB333" s="349"/>
      <c r="AC333" s="349"/>
      <c r="AD333" s="349"/>
      <c r="AE333" s="349"/>
      <c r="AF333" s="349"/>
      <c r="AG333" s="349"/>
      <c r="AH333" s="349"/>
      <c r="AI333" s="349"/>
      <c r="AJ333" s="349"/>
      <c r="AK333" s="349"/>
      <c r="AL333" s="349"/>
      <c r="AM333" s="349"/>
      <c r="AN333" s="349"/>
      <c r="AO333" s="349"/>
      <c r="AP333" s="349"/>
      <c r="AQ333" s="349"/>
      <c r="AR333" s="349"/>
      <c r="AS333" s="349"/>
      <c r="AT333" s="349"/>
      <c r="AU333" s="349"/>
      <c r="AV333" s="349"/>
      <c r="AW333" s="349"/>
      <c r="AX333" s="349"/>
      <c r="AY333" s="349"/>
      <c r="AZ333" s="349"/>
      <c r="BA333" s="349"/>
      <c r="BB333" s="349"/>
      <c r="BC333" s="349"/>
      <c r="BD333" s="349"/>
      <c r="BE333" s="349"/>
      <c r="BF333" s="349"/>
      <c r="BG333" s="349"/>
      <c r="BH333" s="349"/>
      <c r="BI333" s="349"/>
      <c r="BJ333" s="349"/>
      <c r="BK333" s="349"/>
      <c r="BL333" s="349"/>
      <c r="BM333" s="349"/>
      <c r="BN333" s="349"/>
      <c r="BO333" s="349"/>
      <c r="BP333" s="349"/>
      <c r="BQ333" s="349"/>
      <c r="BR333" s="349"/>
      <c r="BS333" s="349"/>
    </row>
    <row r="334" spans="1:71" x14ac:dyDescent="0.3">
      <c r="A334" s="349"/>
      <c r="B334" s="349"/>
      <c r="C334" s="349"/>
      <c r="D334" s="349"/>
      <c r="E334" s="349"/>
      <c r="F334" s="349"/>
      <c r="G334" s="349"/>
      <c r="H334" s="349"/>
      <c r="I334" s="349"/>
      <c r="J334" s="349"/>
      <c r="K334" s="349"/>
      <c r="L334" s="349"/>
      <c r="M334" s="349"/>
      <c r="N334" s="349"/>
      <c r="O334" s="349"/>
      <c r="P334" s="349"/>
      <c r="Q334" s="349"/>
      <c r="R334" s="349"/>
      <c r="S334" s="349"/>
      <c r="T334" s="349"/>
      <c r="U334" s="349"/>
      <c r="V334" s="349"/>
      <c r="W334" s="349"/>
      <c r="X334" s="349"/>
      <c r="Y334" s="349"/>
      <c r="Z334" s="349"/>
      <c r="AA334" s="349"/>
      <c r="AB334" s="349"/>
      <c r="AC334" s="349"/>
      <c r="AD334" s="349"/>
      <c r="AE334" s="349"/>
      <c r="AF334" s="349"/>
      <c r="AG334" s="349"/>
      <c r="AH334" s="349"/>
      <c r="AI334" s="349"/>
      <c r="AJ334" s="349"/>
      <c r="AK334" s="349"/>
      <c r="AL334" s="349"/>
      <c r="AM334" s="349"/>
      <c r="AN334" s="349"/>
      <c r="AO334" s="349"/>
      <c r="AP334" s="349"/>
      <c r="AQ334" s="349"/>
      <c r="AR334" s="349"/>
      <c r="AS334" s="349"/>
      <c r="AT334" s="349"/>
      <c r="AU334" s="349"/>
      <c r="AV334" s="349"/>
      <c r="AW334" s="349"/>
      <c r="AX334" s="349"/>
      <c r="AY334" s="349"/>
      <c r="AZ334" s="349"/>
      <c r="BA334" s="349"/>
      <c r="BB334" s="349"/>
      <c r="BC334" s="349"/>
      <c r="BD334" s="349"/>
      <c r="BE334" s="349"/>
      <c r="BF334" s="349"/>
      <c r="BG334" s="349"/>
      <c r="BH334" s="349"/>
      <c r="BI334" s="349"/>
      <c r="BJ334" s="349"/>
      <c r="BK334" s="349"/>
      <c r="BL334" s="349"/>
      <c r="BM334" s="349"/>
      <c r="BN334" s="349"/>
      <c r="BO334" s="349"/>
      <c r="BP334" s="349"/>
      <c r="BQ334" s="349"/>
      <c r="BR334" s="349"/>
      <c r="BS334" s="349"/>
    </row>
    <row r="335" spans="1:71" x14ac:dyDescent="0.3">
      <c r="A335" s="349"/>
      <c r="B335" s="349"/>
      <c r="C335" s="349"/>
      <c r="D335" s="349"/>
      <c r="E335" s="349"/>
      <c r="F335" s="349"/>
      <c r="G335" s="349"/>
      <c r="H335" s="349"/>
      <c r="I335" s="349"/>
      <c r="J335" s="349"/>
      <c r="K335" s="349"/>
      <c r="L335" s="349"/>
      <c r="M335" s="349"/>
      <c r="N335" s="349"/>
      <c r="O335" s="349"/>
      <c r="P335" s="349"/>
      <c r="Q335" s="349"/>
      <c r="R335" s="349"/>
      <c r="S335" s="349"/>
      <c r="T335" s="349"/>
      <c r="U335" s="349"/>
      <c r="V335" s="349"/>
      <c r="W335" s="349"/>
      <c r="X335" s="349"/>
      <c r="Y335" s="349"/>
      <c r="Z335" s="349"/>
      <c r="AA335" s="349"/>
      <c r="AB335" s="349"/>
      <c r="AC335" s="349"/>
      <c r="AD335" s="349"/>
      <c r="AE335" s="349"/>
      <c r="AF335" s="349"/>
      <c r="AG335" s="349"/>
      <c r="AH335" s="349"/>
      <c r="AI335" s="349"/>
      <c r="AJ335" s="349"/>
      <c r="AK335" s="349"/>
      <c r="AL335" s="349"/>
      <c r="AM335" s="349"/>
      <c r="AN335" s="349"/>
      <c r="AO335" s="349"/>
      <c r="AP335" s="349"/>
      <c r="AQ335" s="349"/>
      <c r="AR335" s="349"/>
      <c r="AS335" s="349"/>
      <c r="AT335" s="349"/>
      <c r="AU335" s="349"/>
      <c r="AV335" s="349"/>
      <c r="AW335" s="349"/>
      <c r="AX335" s="349"/>
      <c r="AY335" s="349"/>
      <c r="AZ335" s="349"/>
      <c r="BA335" s="349"/>
      <c r="BB335" s="349"/>
      <c r="BC335" s="349"/>
      <c r="BD335" s="349"/>
      <c r="BE335" s="349"/>
      <c r="BF335" s="349"/>
      <c r="BG335" s="349"/>
      <c r="BH335" s="349"/>
      <c r="BI335" s="349"/>
      <c r="BJ335" s="349"/>
      <c r="BK335" s="349"/>
      <c r="BL335" s="349"/>
      <c r="BM335" s="349"/>
      <c r="BN335" s="349"/>
      <c r="BO335" s="349"/>
      <c r="BP335" s="349"/>
      <c r="BQ335" s="349"/>
      <c r="BR335" s="349"/>
      <c r="BS335" s="349"/>
    </row>
    <row r="336" spans="1:71" x14ac:dyDescent="0.3">
      <c r="A336" s="349"/>
      <c r="B336" s="349"/>
      <c r="C336" s="349"/>
      <c r="D336" s="349"/>
      <c r="E336" s="349"/>
      <c r="F336" s="349"/>
      <c r="G336" s="349"/>
      <c r="H336" s="349"/>
      <c r="I336" s="349"/>
      <c r="J336" s="349"/>
      <c r="K336" s="349"/>
      <c r="L336" s="349"/>
      <c r="M336" s="349"/>
      <c r="N336" s="349"/>
      <c r="O336" s="349"/>
      <c r="P336" s="349"/>
      <c r="Q336" s="349"/>
      <c r="R336" s="349"/>
      <c r="S336" s="349"/>
      <c r="T336" s="349"/>
      <c r="U336" s="349"/>
      <c r="V336" s="349"/>
      <c r="W336" s="349"/>
      <c r="X336" s="349"/>
      <c r="Y336" s="349"/>
      <c r="Z336" s="349"/>
      <c r="AA336" s="349"/>
      <c r="AB336" s="349"/>
      <c r="AC336" s="349"/>
      <c r="AD336" s="349"/>
      <c r="AE336" s="349"/>
      <c r="AF336" s="349"/>
      <c r="AG336" s="349"/>
      <c r="AH336" s="349"/>
      <c r="AI336" s="349"/>
      <c r="AJ336" s="349"/>
      <c r="AK336" s="349"/>
      <c r="AL336" s="349"/>
      <c r="AM336" s="349"/>
      <c r="AN336" s="349"/>
      <c r="AO336" s="349"/>
      <c r="AP336" s="349"/>
      <c r="AQ336" s="349"/>
      <c r="AR336" s="349"/>
      <c r="AS336" s="349"/>
      <c r="AT336" s="349"/>
      <c r="AU336" s="349"/>
      <c r="AV336" s="349"/>
      <c r="AW336" s="349"/>
      <c r="AX336" s="349"/>
      <c r="AY336" s="349"/>
      <c r="AZ336" s="349"/>
      <c r="BA336" s="349"/>
      <c r="BB336" s="349"/>
      <c r="BC336" s="349"/>
      <c r="BD336" s="349"/>
      <c r="BE336" s="349"/>
      <c r="BF336" s="349"/>
      <c r="BG336" s="349"/>
      <c r="BH336" s="349"/>
      <c r="BI336" s="349"/>
      <c r="BJ336" s="349"/>
      <c r="BK336" s="349"/>
      <c r="BL336" s="349"/>
      <c r="BM336" s="349"/>
      <c r="BN336" s="349"/>
      <c r="BO336" s="349"/>
      <c r="BP336" s="349"/>
      <c r="BQ336" s="349"/>
      <c r="BR336" s="349"/>
      <c r="BS336" s="349"/>
    </row>
    <row r="337" spans="1:71" x14ac:dyDescent="0.3">
      <c r="A337" s="349"/>
      <c r="B337" s="349"/>
      <c r="C337" s="349"/>
      <c r="D337" s="349"/>
      <c r="E337" s="349"/>
      <c r="F337" s="349"/>
      <c r="G337" s="349"/>
      <c r="H337" s="349"/>
      <c r="I337" s="349"/>
      <c r="J337" s="349"/>
      <c r="K337" s="349"/>
      <c r="L337" s="349"/>
      <c r="M337" s="349"/>
      <c r="N337" s="349"/>
      <c r="O337" s="349"/>
      <c r="P337" s="349"/>
      <c r="Q337" s="349"/>
      <c r="R337" s="349"/>
      <c r="S337" s="349"/>
      <c r="T337" s="349"/>
      <c r="U337" s="349"/>
      <c r="V337" s="349"/>
      <c r="W337" s="349"/>
      <c r="X337" s="349"/>
      <c r="Y337" s="349"/>
      <c r="Z337" s="349"/>
      <c r="AA337" s="349"/>
      <c r="AB337" s="349"/>
      <c r="AC337" s="349"/>
      <c r="AD337" s="349"/>
      <c r="AE337" s="349"/>
      <c r="AF337" s="349"/>
      <c r="AG337" s="349"/>
      <c r="AH337" s="349"/>
      <c r="AI337" s="349"/>
      <c r="AJ337" s="349"/>
      <c r="AK337" s="349"/>
      <c r="AL337" s="349"/>
      <c r="AM337" s="349"/>
      <c r="AN337" s="349"/>
      <c r="AO337" s="349"/>
      <c r="AP337" s="349"/>
      <c r="AQ337" s="349"/>
      <c r="AR337" s="349"/>
      <c r="AS337" s="349"/>
      <c r="AT337" s="349"/>
      <c r="AU337" s="349"/>
      <c r="AV337" s="349"/>
      <c r="AW337" s="349"/>
      <c r="AX337" s="349"/>
      <c r="AY337" s="349"/>
      <c r="AZ337" s="349"/>
      <c r="BA337" s="349"/>
      <c r="BB337" s="349"/>
      <c r="BC337" s="349"/>
      <c r="BD337" s="349"/>
      <c r="BE337" s="349"/>
      <c r="BF337" s="349"/>
      <c r="BG337" s="349"/>
      <c r="BH337" s="349"/>
      <c r="BI337" s="349"/>
      <c r="BJ337" s="349"/>
      <c r="BK337" s="349"/>
      <c r="BL337" s="349"/>
      <c r="BM337" s="349"/>
      <c r="BN337" s="349"/>
      <c r="BO337" s="349"/>
      <c r="BP337" s="349"/>
      <c r="BQ337" s="349"/>
      <c r="BR337" s="349"/>
      <c r="BS337" s="349"/>
    </row>
    <row r="338" spans="1:71" x14ac:dyDescent="0.3">
      <c r="A338" s="349"/>
      <c r="B338" s="349"/>
      <c r="C338" s="349"/>
      <c r="D338" s="349"/>
      <c r="E338" s="349"/>
      <c r="F338" s="349"/>
      <c r="G338" s="349"/>
      <c r="H338" s="349"/>
      <c r="I338" s="349"/>
      <c r="J338" s="349"/>
      <c r="K338" s="349"/>
      <c r="L338" s="349"/>
      <c r="M338" s="349"/>
      <c r="N338" s="349"/>
      <c r="O338" s="349"/>
      <c r="P338" s="349"/>
      <c r="Q338" s="349"/>
      <c r="R338" s="349"/>
      <c r="S338" s="349"/>
      <c r="T338" s="349"/>
      <c r="U338" s="349"/>
      <c r="V338" s="349"/>
      <c r="W338" s="349"/>
      <c r="X338" s="349"/>
      <c r="Y338" s="349"/>
      <c r="Z338" s="349"/>
      <c r="AA338" s="349"/>
      <c r="AB338" s="349"/>
      <c r="AC338" s="349"/>
      <c r="AD338" s="349"/>
      <c r="AE338" s="349"/>
      <c r="AF338" s="349"/>
      <c r="AG338" s="349"/>
      <c r="AH338" s="349"/>
      <c r="AI338" s="349"/>
      <c r="AJ338" s="349"/>
      <c r="AK338" s="349"/>
      <c r="AL338" s="349"/>
      <c r="AM338" s="349"/>
      <c r="AN338" s="349"/>
      <c r="AO338" s="349"/>
      <c r="AP338" s="349"/>
      <c r="AQ338" s="349"/>
      <c r="AR338" s="349"/>
      <c r="AS338" s="349"/>
      <c r="AT338" s="349"/>
      <c r="AU338" s="349"/>
      <c r="AV338" s="349"/>
      <c r="AW338" s="349"/>
      <c r="AX338" s="349"/>
      <c r="AY338" s="349"/>
      <c r="AZ338" s="349"/>
      <c r="BA338" s="349"/>
      <c r="BB338" s="349"/>
      <c r="BC338" s="349"/>
      <c r="BD338" s="349"/>
      <c r="BE338" s="349"/>
      <c r="BF338" s="349"/>
      <c r="BG338" s="349"/>
      <c r="BH338" s="349"/>
      <c r="BI338" s="349"/>
      <c r="BJ338" s="349"/>
      <c r="BK338" s="349"/>
      <c r="BL338" s="349"/>
      <c r="BM338" s="349"/>
      <c r="BN338" s="349"/>
      <c r="BO338" s="349"/>
      <c r="BP338" s="349"/>
      <c r="BQ338" s="349"/>
      <c r="BR338" s="349"/>
      <c r="BS338" s="349"/>
    </row>
    <row r="339" spans="1:71" x14ac:dyDescent="0.3">
      <c r="A339" s="349"/>
      <c r="B339" s="349"/>
      <c r="C339" s="349"/>
      <c r="D339" s="349"/>
      <c r="E339" s="349"/>
      <c r="F339" s="349"/>
      <c r="G339" s="349"/>
      <c r="H339" s="349"/>
      <c r="I339" s="349"/>
      <c r="J339" s="349"/>
      <c r="K339" s="349"/>
      <c r="L339" s="349"/>
      <c r="M339" s="349"/>
      <c r="N339" s="349"/>
      <c r="O339" s="349"/>
      <c r="P339" s="349"/>
      <c r="Q339" s="349"/>
      <c r="R339" s="349"/>
      <c r="S339" s="349"/>
      <c r="T339" s="349"/>
      <c r="U339" s="349"/>
      <c r="V339" s="349"/>
      <c r="W339" s="349"/>
      <c r="X339" s="349"/>
      <c r="Y339" s="349"/>
      <c r="Z339" s="349"/>
      <c r="AA339" s="349"/>
      <c r="AB339" s="349"/>
      <c r="AC339" s="349"/>
      <c r="AD339" s="349"/>
      <c r="AE339" s="349"/>
      <c r="AF339" s="349"/>
      <c r="AG339" s="349"/>
      <c r="AH339" s="349"/>
      <c r="AI339" s="349"/>
      <c r="AJ339" s="349"/>
      <c r="AK339" s="349"/>
      <c r="AL339" s="349"/>
      <c r="AM339" s="349"/>
      <c r="AN339" s="349"/>
      <c r="AO339" s="349"/>
      <c r="AP339" s="349"/>
      <c r="AQ339" s="349"/>
      <c r="AR339" s="349"/>
      <c r="AS339" s="349"/>
      <c r="AT339" s="349"/>
      <c r="AU339" s="349"/>
      <c r="AV339" s="349"/>
      <c r="AW339" s="349"/>
      <c r="AX339" s="349"/>
      <c r="AY339" s="349"/>
      <c r="AZ339" s="349"/>
      <c r="BA339" s="349"/>
      <c r="BB339" s="349"/>
      <c r="BC339" s="349"/>
      <c r="BD339" s="349"/>
      <c r="BE339" s="349"/>
      <c r="BF339" s="349"/>
      <c r="BG339" s="349"/>
      <c r="BH339" s="349"/>
      <c r="BI339" s="349"/>
      <c r="BJ339" s="349"/>
      <c r="BK339" s="349"/>
      <c r="BL339" s="349"/>
      <c r="BM339" s="349"/>
      <c r="BN339" s="349"/>
      <c r="BO339" s="349"/>
      <c r="BP339" s="349"/>
      <c r="BQ339" s="349"/>
      <c r="BR339" s="349"/>
      <c r="BS339" s="349"/>
    </row>
    <row r="340" spans="1:71" x14ac:dyDescent="0.3">
      <c r="A340" s="349"/>
      <c r="B340" s="349"/>
      <c r="C340" s="349"/>
      <c r="D340" s="349"/>
      <c r="E340" s="349"/>
      <c r="F340" s="349"/>
      <c r="G340" s="349"/>
      <c r="H340" s="349"/>
      <c r="I340" s="349"/>
      <c r="J340" s="349"/>
      <c r="K340" s="349"/>
      <c r="L340" s="349"/>
      <c r="M340" s="349"/>
      <c r="N340" s="349"/>
      <c r="O340" s="349"/>
      <c r="P340" s="349"/>
      <c r="Q340" s="349"/>
      <c r="R340" s="349"/>
      <c r="S340" s="349"/>
      <c r="T340" s="349"/>
      <c r="U340" s="349"/>
      <c r="V340" s="349"/>
      <c r="W340" s="349"/>
      <c r="X340" s="349"/>
      <c r="Y340" s="349"/>
      <c r="Z340" s="349"/>
      <c r="AA340" s="349"/>
      <c r="AB340" s="349"/>
      <c r="AC340" s="349"/>
      <c r="AD340" s="349"/>
      <c r="AE340" s="349"/>
      <c r="AF340" s="349"/>
      <c r="AG340" s="349"/>
      <c r="AH340" s="349"/>
      <c r="AI340" s="349"/>
      <c r="AJ340" s="349"/>
      <c r="AK340" s="349"/>
      <c r="AL340" s="349"/>
      <c r="AM340" s="349"/>
      <c r="AN340" s="349"/>
      <c r="AO340" s="349"/>
      <c r="AP340" s="349"/>
      <c r="AQ340" s="349"/>
      <c r="AR340" s="349"/>
      <c r="AS340" s="349"/>
      <c r="AT340" s="349"/>
      <c r="AU340" s="349"/>
      <c r="AV340" s="349"/>
      <c r="AW340" s="349"/>
      <c r="AX340" s="349"/>
      <c r="AY340" s="349"/>
      <c r="AZ340" s="349"/>
      <c r="BA340" s="349"/>
      <c r="BB340" s="349"/>
      <c r="BC340" s="349"/>
      <c r="BD340" s="349"/>
      <c r="BE340" s="349"/>
      <c r="BF340" s="349"/>
      <c r="BG340" s="349"/>
      <c r="BH340" s="349"/>
      <c r="BI340" s="349"/>
      <c r="BJ340" s="349"/>
      <c r="BK340" s="349"/>
      <c r="BL340" s="349"/>
      <c r="BM340" s="349"/>
      <c r="BN340" s="349"/>
      <c r="BO340" s="349"/>
      <c r="BP340" s="349"/>
      <c r="BQ340" s="349"/>
      <c r="BR340" s="349"/>
      <c r="BS340" s="349"/>
    </row>
    <row r="341" spans="1:71" x14ac:dyDescent="0.3">
      <c r="A341" s="349"/>
      <c r="B341" s="349"/>
      <c r="C341" s="349"/>
      <c r="D341" s="349"/>
      <c r="E341" s="349"/>
      <c r="F341" s="349"/>
      <c r="G341" s="349"/>
      <c r="H341" s="349"/>
      <c r="I341" s="349"/>
      <c r="J341" s="349"/>
      <c r="K341" s="349"/>
      <c r="L341" s="349"/>
      <c r="M341" s="349"/>
      <c r="N341" s="349"/>
      <c r="O341" s="349"/>
      <c r="P341" s="349"/>
      <c r="Q341" s="349"/>
      <c r="R341" s="349"/>
      <c r="S341" s="349"/>
      <c r="T341" s="349"/>
      <c r="U341" s="349"/>
      <c r="V341" s="349"/>
      <c r="W341" s="349"/>
      <c r="X341" s="349"/>
      <c r="Y341" s="349"/>
      <c r="Z341" s="349"/>
      <c r="AA341" s="349"/>
      <c r="AB341" s="349"/>
      <c r="AC341" s="349"/>
      <c r="AD341" s="349"/>
      <c r="AE341" s="349"/>
      <c r="AF341" s="349"/>
      <c r="AG341" s="349"/>
      <c r="AH341" s="349"/>
      <c r="AI341" s="349"/>
      <c r="AJ341" s="349"/>
      <c r="AK341" s="349"/>
      <c r="AL341" s="349"/>
      <c r="AM341" s="349"/>
      <c r="AN341" s="349"/>
      <c r="AO341" s="349"/>
      <c r="AP341" s="349"/>
      <c r="AQ341" s="349"/>
      <c r="AR341" s="349"/>
      <c r="AS341" s="349"/>
      <c r="AT341" s="349"/>
      <c r="AU341" s="349"/>
      <c r="AV341" s="349"/>
      <c r="AW341" s="349"/>
      <c r="AX341" s="349"/>
      <c r="AY341" s="349"/>
      <c r="AZ341" s="349"/>
      <c r="BA341" s="349"/>
      <c r="BB341" s="349"/>
      <c r="BC341" s="349"/>
      <c r="BD341" s="349"/>
      <c r="BE341" s="349"/>
      <c r="BF341" s="349"/>
      <c r="BG341" s="349"/>
      <c r="BH341" s="349"/>
      <c r="BI341" s="349"/>
      <c r="BJ341" s="349"/>
      <c r="BK341" s="349"/>
      <c r="BL341" s="349"/>
      <c r="BM341" s="349"/>
      <c r="BN341" s="349"/>
      <c r="BO341" s="349"/>
      <c r="BP341" s="349"/>
      <c r="BQ341" s="349"/>
      <c r="BR341" s="349"/>
      <c r="BS341" s="349"/>
    </row>
    <row r="342" spans="1:71" x14ac:dyDescent="0.3">
      <c r="A342" s="349"/>
      <c r="B342" s="349"/>
      <c r="C342" s="349"/>
      <c r="D342" s="349"/>
      <c r="E342" s="349"/>
      <c r="F342" s="349"/>
      <c r="G342" s="349"/>
      <c r="H342" s="349"/>
      <c r="I342" s="349"/>
      <c r="J342" s="349"/>
      <c r="K342" s="349"/>
      <c r="L342" s="349"/>
      <c r="M342" s="349"/>
      <c r="N342" s="349"/>
      <c r="O342" s="349"/>
      <c r="P342" s="349"/>
      <c r="Q342" s="349"/>
      <c r="R342" s="349"/>
      <c r="S342" s="349"/>
      <c r="T342" s="349"/>
      <c r="U342" s="349"/>
      <c r="V342" s="349"/>
      <c r="W342" s="349"/>
      <c r="X342" s="349"/>
      <c r="Y342" s="349"/>
      <c r="Z342" s="349"/>
      <c r="AA342" s="349"/>
      <c r="AB342" s="349"/>
      <c r="AC342" s="349"/>
      <c r="AD342" s="349"/>
      <c r="AE342" s="349"/>
      <c r="AF342" s="349"/>
      <c r="AG342" s="349"/>
      <c r="AH342" s="349"/>
      <c r="AI342" s="349"/>
      <c r="AJ342" s="349"/>
      <c r="AK342" s="349"/>
      <c r="AL342" s="349"/>
      <c r="AM342" s="349"/>
      <c r="AN342" s="349"/>
      <c r="AO342" s="349"/>
      <c r="AP342" s="349"/>
      <c r="AQ342" s="349"/>
      <c r="AR342" s="349"/>
      <c r="AS342" s="349"/>
      <c r="AT342" s="349"/>
      <c r="AU342" s="349"/>
      <c r="AV342" s="349"/>
      <c r="AW342" s="349"/>
      <c r="AX342" s="349"/>
      <c r="AY342" s="349"/>
      <c r="AZ342" s="349"/>
      <c r="BA342" s="349"/>
      <c r="BB342" s="349"/>
      <c r="BC342" s="349"/>
      <c r="BD342" s="349"/>
      <c r="BE342" s="349"/>
      <c r="BF342" s="349"/>
      <c r="BG342" s="349"/>
      <c r="BH342" s="349"/>
      <c r="BI342" s="349"/>
      <c r="BJ342" s="349"/>
      <c r="BK342" s="349"/>
      <c r="BL342" s="349"/>
      <c r="BM342" s="349"/>
      <c r="BN342" s="349"/>
      <c r="BO342" s="349"/>
      <c r="BP342" s="349"/>
      <c r="BQ342" s="349"/>
      <c r="BR342" s="349"/>
      <c r="BS342" s="349"/>
    </row>
    <row r="343" spans="1:71" x14ac:dyDescent="0.3">
      <c r="A343" s="349"/>
      <c r="B343" s="349"/>
      <c r="C343" s="349"/>
      <c r="D343" s="349"/>
      <c r="E343" s="349"/>
      <c r="F343" s="349"/>
      <c r="G343" s="349"/>
      <c r="H343" s="349"/>
      <c r="I343" s="349"/>
      <c r="J343" s="349"/>
      <c r="K343" s="349"/>
      <c r="L343" s="349"/>
      <c r="M343" s="349"/>
      <c r="N343" s="349"/>
      <c r="O343" s="349"/>
      <c r="P343" s="349"/>
      <c r="Q343" s="349"/>
      <c r="R343" s="349"/>
      <c r="S343" s="349"/>
      <c r="T343" s="349"/>
      <c r="U343" s="349"/>
      <c r="V343" s="349"/>
      <c r="W343" s="349"/>
      <c r="X343" s="349"/>
      <c r="Y343" s="349"/>
      <c r="Z343" s="349"/>
      <c r="AA343" s="349"/>
      <c r="AB343" s="349"/>
      <c r="AC343" s="349"/>
      <c r="AD343" s="349"/>
      <c r="AE343" s="349"/>
      <c r="AF343" s="349"/>
      <c r="AG343" s="349"/>
      <c r="AH343" s="349"/>
      <c r="AI343" s="349"/>
      <c r="AJ343" s="349"/>
      <c r="AK343" s="349"/>
      <c r="AL343" s="349"/>
      <c r="AM343" s="349"/>
      <c r="AN343" s="349"/>
      <c r="AO343" s="349"/>
      <c r="AP343" s="349"/>
      <c r="AQ343" s="349"/>
      <c r="AR343" s="349"/>
      <c r="AS343" s="349"/>
      <c r="AT343" s="349"/>
      <c r="AU343" s="349"/>
      <c r="AV343" s="349"/>
      <c r="AW343" s="349"/>
      <c r="AX343" s="349"/>
      <c r="AY343" s="349"/>
      <c r="AZ343" s="349"/>
      <c r="BA343" s="349"/>
      <c r="BB343" s="349"/>
      <c r="BC343" s="349"/>
      <c r="BD343" s="349"/>
      <c r="BE343" s="349"/>
      <c r="BF343" s="349"/>
      <c r="BG343" s="349"/>
      <c r="BH343" s="349"/>
      <c r="BI343" s="349"/>
      <c r="BJ343" s="349"/>
      <c r="BK343" s="349"/>
      <c r="BL343" s="349"/>
      <c r="BM343" s="349"/>
      <c r="BN343" s="349"/>
      <c r="BO343" s="349"/>
      <c r="BP343" s="349"/>
      <c r="BQ343" s="349"/>
      <c r="BR343" s="349"/>
      <c r="BS343" s="349"/>
    </row>
    <row r="344" spans="1:71" x14ac:dyDescent="0.3">
      <c r="A344" s="349"/>
      <c r="B344" s="349"/>
      <c r="C344" s="349"/>
      <c r="D344" s="349"/>
      <c r="E344" s="349"/>
      <c r="F344" s="349"/>
      <c r="G344" s="349"/>
      <c r="H344" s="349"/>
      <c r="I344" s="349"/>
      <c r="J344" s="349"/>
      <c r="K344" s="349"/>
      <c r="L344" s="349"/>
      <c r="M344" s="349"/>
      <c r="N344" s="349"/>
      <c r="O344" s="349"/>
      <c r="P344" s="349"/>
      <c r="Q344" s="349"/>
      <c r="R344" s="349"/>
      <c r="S344" s="349"/>
      <c r="T344" s="349"/>
      <c r="U344" s="349"/>
      <c r="V344" s="349"/>
      <c r="W344" s="349"/>
      <c r="X344" s="349"/>
      <c r="Y344" s="349"/>
      <c r="Z344" s="349"/>
      <c r="AA344" s="349"/>
      <c r="AB344" s="349"/>
      <c r="AC344" s="349"/>
      <c r="AD344" s="349"/>
      <c r="AE344" s="349"/>
      <c r="AF344" s="349"/>
      <c r="AG344" s="349"/>
      <c r="AH344" s="349"/>
      <c r="AI344" s="349"/>
      <c r="AJ344" s="349"/>
      <c r="AK344" s="349"/>
      <c r="AL344" s="349"/>
      <c r="AM344" s="349"/>
      <c r="AN344" s="349"/>
      <c r="AO344" s="349"/>
      <c r="AP344" s="349"/>
      <c r="AQ344" s="349"/>
      <c r="AR344" s="349"/>
      <c r="AS344" s="349"/>
      <c r="AT344" s="349"/>
      <c r="AU344" s="349"/>
      <c r="AV344" s="349"/>
      <c r="AW344" s="349"/>
      <c r="AX344" s="349"/>
      <c r="AY344" s="349"/>
      <c r="AZ344" s="349"/>
      <c r="BA344" s="349"/>
      <c r="BB344" s="349"/>
      <c r="BC344" s="349"/>
      <c r="BD344" s="349"/>
      <c r="BE344" s="349"/>
      <c r="BF344" s="349"/>
      <c r="BG344" s="349"/>
      <c r="BH344" s="349"/>
      <c r="BI344" s="349"/>
      <c r="BJ344" s="349"/>
      <c r="BK344" s="349"/>
      <c r="BL344" s="349"/>
      <c r="BM344" s="349"/>
      <c r="BN344" s="349"/>
      <c r="BO344" s="349"/>
      <c r="BP344" s="349"/>
      <c r="BQ344" s="349"/>
      <c r="BR344" s="349"/>
      <c r="BS344" s="349"/>
    </row>
    <row r="345" spans="1:71" x14ac:dyDescent="0.3">
      <c r="A345" s="349"/>
      <c r="B345" s="349"/>
      <c r="C345" s="349"/>
      <c r="D345" s="349"/>
      <c r="E345" s="349"/>
      <c r="F345" s="349"/>
      <c r="G345" s="349"/>
      <c r="H345" s="349"/>
      <c r="I345" s="349"/>
      <c r="J345" s="349"/>
      <c r="K345" s="349"/>
      <c r="L345" s="349"/>
      <c r="M345" s="349"/>
      <c r="N345" s="349"/>
      <c r="O345" s="349"/>
      <c r="P345" s="349"/>
      <c r="Q345" s="349"/>
      <c r="R345" s="349"/>
      <c r="S345" s="349"/>
      <c r="T345" s="349"/>
      <c r="U345" s="349"/>
      <c r="V345" s="349"/>
      <c r="W345" s="349"/>
      <c r="X345" s="349"/>
      <c r="Y345" s="349"/>
      <c r="Z345" s="349"/>
      <c r="AA345" s="349"/>
      <c r="AB345" s="349"/>
      <c r="AC345" s="349"/>
      <c r="AD345" s="349"/>
      <c r="AE345" s="349"/>
      <c r="AF345" s="349"/>
      <c r="AG345" s="349"/>
      <c r="AH345" s="349"/>
      <c r="AI345" s="349"/>
      <c r="AJ345" s="349"/>
      <c r="AK345" s="349"/>
      <c r="AL345" s="349"/>
      <c r="AM345" s="349"/>
      <c r="AN345" s="349"/>
      <c r="AO345" s="349"/>
      <c r="AP345" s="349"/>
      <c r="AQ345" s="349"/>
      <c r="AR345" s="349"/>
      <c r="AS345" s="349"/>
      <c r="AT345" s="349"/>
      <c r="AU345" s="349"/>
      <c r="AV345" s="349"/>
      <c r="AW345" s="349"/>
      <c r="AX345" s="349"/>
      <c r="AY345" s="349"/>
      <c r="AZ345" s="349"/>
      <c r="BA345" s="349"/>
      <c r="BB345" s="349"/>
      <c r="BC345" s="349"/>
      <c r="BD345" s="349"/>
      <c r="BE345" s="349"/>
      <c r="BF345" s="349"/>
      <c r="BG345" s="349"/>
      <c r="BH345" s="349"/>
      <c r="BI345" s="349"/>
      <c r="BJ345" s="349"/>
      <c r="BK345" s="349"/>
      <c r="BL345" s="349"/>
      <c r="BM345" s="349"/>
      <c r="BN345" s="349"/>
      <c r="BO345" s="349"/>
      <c r="BP345" s="349"/>
      <c r="BQ345" s="349"/>
      <c r="BR345" s="349"/>
      <c r="BS345" s="349"/>
    </row>
    <row r="346" spans="1:71" x14ac:dyDescent="0.3">
      <c r="A346" s="349"/>
      <c r="B346" s="349"/>
      <c r="C346" s="349"/>
      <c r="D346" s="349"/>
      <c r="E346" s="349"/>
      <c r="F346" s="349"/>
      <c r="G346" s="349"/>
      <c r="H346" s="349"/>
      <c r="I346" s="349"/>
      <c r="J346" s="349"/>
      <c r="K346" s="349"/>
      <c r="L346" s="349"/>
      <c r="M346" s="349"/>
      <c r="N346" s="349"/>
      <c r="O346" s="349"/>
      <c r="P346" s="349"/>
      <c r="Q346" s="349"/>
      <c r="R346" s="349"/>
      <c r="S346" s="349"/>
      <c r="T346" s="349"/>
      <c r="U346" s="349"/>
      <c r="V346" s="349"/>
      <c r="W346" s="349"/>
      <c r="X346" s="349"/>
      <c r="Y346" s="349"/>
      <c r="Z346" s="349"/>
      <c r="AA346" s="349"/>
      <c r="AB346" s="349"/>
      <c r="AC346" s="349"/>
      <c r="AD346" s="349"/>
      <c r="AE346" s="349"/>
      <c r="AF346" s="349"/>
      <c r="AG346" s="349"/>
      <c r="AH346" s="349"/>
      <c r="AI346" s="349"/>
      <c r="AJ346" s="349"/>
      <c r="AK346" s="349"/>
      <c r="AL346" s="349"/>
      <c r="AM346" s="349"/>
      <c r="AN346" s="349"/>
      <c r="AO346" s="349"/>
      <c r="AP346" s="349"/>
      <c r="AQ346" s="349"/>
      <c r="AR346" s="349"/>
      <c r="AS346" s="349"/>
      <c r="AT346" s="349"/>
      <c r="AU346" s="349"/>
      <c r="AV346" s="349"/>
      <c r="AW346" s="349"/>
      <c r="AX346" s="349"/>
      <c r="AY346" s="349"/>
      <c r="AZ346" s="349"/>
      <c r="BA346" s="349"/>
      <c r="BB346" s="349"/>
      <c r="BC346" s="349"/>
      <c r="BD346" s="349"/>
      <c r="BE346" s="349"/>
      <c r="BF346" s="349"/>
      <c r="BG346" s="349"/>
      <c r="BH346" s="349"/>
      <c r="BI346" s="349"/>
      <c r="BJ346" s="349"/>
      <c r="BK346" s="349"/>
      <c r="BL346" s="349"/>
      <c r="BM346" s="349"/>
      <c r="BN346" s="349"/>
      <c r="BO346" s="349"/>
      <c r="BP346" s="349"/>
      <c r="BQ346" s="349"/>
      <c r="BR346" s="349"/>
      <c r="BS346" s="349"/>
    </row>
    <row r="347" spans="1:71" x14ac:dyDescent="0.3">
      <c r="A347" s="349"/>
      <c r="B347" s="349"/>
      <c r="C347" s="349"/>
      <c r="D347" s="349"/>
      <c r="E347" s="349"/>
      <c r="F347" s="349"/>
      <c r="G347" s="349"/>
      <c r="H347" s="349"/>
      <c r="I347" s="349"/>
      <c r="J347" s="349"/>
      <c r="K347" s="349"/>
      <c r="L347" s="349"/>
      <c r="M347" s="349"/>
      <c r="N347" s="349"/>
      <c r="O347" s="349"/>
      <c r="P347" s="349"/>
      <c r="Q347" s="349"/>
      <c r="R347" s="349"/>
      <c r="S347" s="349"/>
      <c r="T347" s="349"/>
      <c r="U347" s="349"/>
      <c r="V347" s="349"/>
      <c r="W347" s="349"/>
      <c r="X347" s="349"/>
      <c r="Y347" s="349"/>
      <c r="Z347" s="349"/>
      <c r="AA347" s="349"/>
      <c r="AB347" s="349"/>
      <c r="AC347" s="349"/>
      <c r="AD347" s="349"/>
      <c r="AE347" s="349"/>
      <c r="AF347" s="349"/>
      <c r="AG347" s="349"/>
      <c r="AH347" s="349"/>
      <c r="AI347" s="349"/>
      <c r="AJ347" s="349"/>
      <c r="AK347" s="349"/>
      <c r="AL347" s="349"/>
      <c r="AM347" s="349"/>
      <c r="AN347" s="349"/>
      <c r="AO347" s="349"/>
      <c r="AP347" s="349"/>
      <c r="AQ347" s="349"/>
      <c r="AR347" s="349"/>
      <c r="AS347" s="349"/>
      <c r="AT347" s="349"/>
      <c r="AU347" s="349"/>
      <c r="AV347" s="349"/>
      <c r="AW347" s="349"/>
      <c r="AX347" s="349"/>
      <c r="AY347" s="349"/>
      <c r="AZ347" s="349"/>
      <c r="BA347" s="349"/>
      <c r="BB347" s="349"/>
      <c r="BC347" s="349"/>
      <c r="BD347" s="349"/>
      <c r="BE347" s="349"/>
      <c r="BF347" s="349"/>
      <c r="BG347" s="349"/>
      <c r="BH347" s="349"/>
      <c r="BI347" s="349"/>
      <c r="BJ347" s="349"/>
      <c r="BK347" s="349"/>
      <c r="BL347" s="349"/>
      <c r="BM347" s="349"/>
      <c r="BN347" s="349"/>
      <c r="BO347" s="349"/>
      <c r="BP347" s="349"/>
      <c r="BQ347" s="349"/>
      <c r="BR347" s="349"/>
      <c r="BS347" s="349"/>
    </row>
    <row r="348" spans="1:71" x14ac:dyDescent="0.3">
      <c r="A348" s="349"/>
      <c r="B348" s="349"/>
      <c r="C348" s="349"/>
      <c r="D348" s="349"/>
      <c r="E348" s="349"/>
      <c r="F348" s="349"/>
      <c r="G348" s="349"/>
      <c r="H348" s="349"/>
      <c r="I348" s="349"/>
      <c r="J348" s="349"/>
      <c r="K348" s="349"/>
      <c r="L348" s="349"/>
      <c r="M348" s="349"/>
      <c r="N348" s="349"/>
      <c r="O348" s="349"/>
      <c r="P348" s="349"/>
      <c r="Q348" s="349"/>
      <c r="R348" s="349"/>
      <c r="S348" s="349"/>
      <c r="T348" s="349"/>
      <c r="U348" s="349"/>
      <c r="V348" s="349"/>
      <c r="W348" s="349"/>
      <c r="X348" s="349"/>
      <c r="Y348" s="349"/>
      <c r="Z348" s="349"/>
      <c r="AA348" s="349"/>
      <c r="AB348" s="349"/>
      <c r="AC348" s="349"/>
      <c r="AD348" s="349"/>
      <c r="AE348" s="349"/>
      <c r="AF348" s="349"/>
      <c r="AG348" s="349"/>
      <c r="AH348" s="349"/>
      <c r="AI348" s="349"/>
      <c r="AJ348" s="349"/>
      <c r="AK348" s="349"/>
      <c r="AL348" s="349"/>
      <c r="AM348" s="349"/>
      <c r="AN348" s="349"/>
      <c r="AO348" s="349"/>
      <c r="AP348" s="349"/>
      <c r="AQ348" s="349"/>
      <c r="AR348" s="349"/>
      <c r="AS348" s="349"/>
      <c r="AT348" s="349"/>
      <c r="AU348" s="349"/>
      <c r="AV348" s="349"/>
      <c r="AW348" s="349"/>
      <c r="AX348" s="349"/>
      <c r="AY348" s="349"/>
      <c r="AZ348" s="349"/>
      <c r="BA348" s="349"/>
      <c r="BB348" s="349"/>
      <c r="BC348" s="349"/>
      <c r="BD348" s="349"/>
      <c r="BE348" s="349"/>
      <c r="BF348" s="349"/>
      <c r="BG348" s="349"/>
      <c r="BH348" s="349"/>
      <c r="BI348" s="349"/>
      <c r="BJ348" s="349"/>
      <c r="BK348" s="349"/>
      <c r="BL348" s="349"/>
      <c r="BM348" s="349"/>
      <c r="BN348" s="349"/>
      <c r="BO348" s="349"/>
      <c r="BP348" s="349"/>
      <c r="BQ348" s="349"/>
      <c r="BR348" s="349"/>
      <c r="BS348" s="349"/>
    </row>
    <row r="349" spans="1:71" x14ac:dyDescent="0.3">
      <c r="A349" s="349"/>
      <c r="B349" s="349"/>
      <c r="C349" s="349"/>
      <c r="D349" s="349"/>
      <c r="E349" s="349"/>
      <c r="F349" s="349"/>
      <c r="G349" s="349"/>
      <c r="H349" s="349"/>
      <c r="I349" s="349"/>
      <c r="J349" s="349"/>
      <c r="K349" s="349"/>
      <c r="L349" s="349"/>
      <c r="M349" s="349"/>
      <c r="N349" s="349"/>
      <c r="O349" s="349"/>
      <c r="P349" s="349"/>
      <c r="Q349" s="349"/>
      <c r="R349" s="349"/>
      <c r="S349" s="349"/>
      <c r="T349" s="349"/>
      <c r="U349" s="349"/>
      <c r="V349" s="349"/>
      <c r="W349" s="349"/>
      <c r="X349" s="349"/>
      <c r="Y349" s="349"/>
      <c r="Z349" s="349"/>
      <c r="AA349" s="349"/>
      <c r="AB349" s="349"/>
      <c r="AC349" s="349"/>
      <c r="AD349" s="349"/>
      <c r="AE349" s="349"/>
      <c r="AF349" s="349"/>
      <c r="AG349" s="349"/>
      <c r="AH349" s="349"/>
      <c r="AI349" s="349"/>
      <c r="AJ349" s="349"/>
      <c r="AK349" s="349"/>
      <c r="AL349" s="349"/>
      <c r="AM349" s="349"/>
      <c r="AN349" s="349"/>
      <c r="AO349" s="349"/>
      <c r="AP349" s="349"/>
      <c r="AQ349" s="349"/>
      <c r="AR349" s="349"/>
      <c r="AS349" s="349"/>
      <c r="AT349" s="349"/>
      <c r="AU349" s="349"/>
      <c r="AV349" s="349"/>
      <c r="AW349" s="349"/>
      <c r="AX349" s="349"/>
      <c r="AY349" s="349"/>
      <c r="AZ349" s="349"/>
      <c r="BA349" s="349"/>
      <c r="BB349" s="349"/>
      <c r="BC349" s="349"/>
      <c r="BD349" s="349"/>
      <c r="BE349" s="349"/>
      <c r="BF349" s="349"/>
      <c r="BG349" s="349"/>
      <c r="BH349" s="349"/>
      <c r="BI349" s="349"/>
      <c r="BJ349" s="349"/>
      <c r="BK349" s="349"/>
      <c r="BL349" s="349"/>
      <c r="BM349" s="349"/>
      <c r="BN349" s="349"/>
      <c r="BO349" s="349"/>
      <c r="BP349" s="349"/>
      <c r="BQ349" s="349"/>
      <c r="BR349" s="349"/>
      <c r="BS349" s="349"/>
    </row>
    <row r="350" spans="1:71" x14ac:dyDescent="0.3">
      <c r="A350" s="349"/>
      <c r="B350" s="349"/>
      <c r="C350" s="349"/>
      <c r="D350" s="349"/>
      <c r="E350" s="349"/>
      <c r="F350" s="349"/>
      <c r="G350" s="349"/>
      <c r="H350" s="349"/>
      <c r="I350" s="349"/>
      <c r="J350" s="349"/>
      <c r="K350" s="349"/>
      <c r="L350" s="349"/>
      <c r="M350" s="349"/>
      <c r="N350" s="349"/>
      <c r="O350" s="349"/>
      <c r="P350" s="349"/>
      <c r="Q350" s="349"/>
      <c r="R350" s="349"/>
      <c r="S350" s="349"/>
      <c r="T350" s="349"/>
      <c r="U350" s="349"/>
      <c r="V350" s="349"/>
      <c r="W350" s="349"/>
      <c r="X350" s="349"/>
      <c r="Y350" s="349"/>
      <c r="Z350" s="349"/>
      <c r="AA350" s="349"/>
      <c r="AB350" s="349"/>
      <c r="AC350" s="349"/>
      <c r="AD350" s="349"/>
      <c r="AE350" s="349"/>
      <c r="AF350" s="349"/>
      <c r="AG350" s="349"/>
      <c r="AH350" s="349"/>
      <c r="AI350" s="349"/>
      <c r="AJ350" s="349"/>
      <c r="AK350" s="349"/>
      <c r="AL350" s="349"/>
      <c r="AM350" s="349"/>
      <c r="AN350" s="349"/>
      <c r="AO350" s="349"/>
      <c r="AP350" s="349"/>
      <c r="AQ350" s="349"/>
      <c r="AR350" s="349"/>
      <c r="AS350" s="349"/>
      <c r="AT350" s="349"/>
      <c r="AU350" s="349"/>
      <c r="AV350" s="349"/>
      <c r="AW350" s="349"/>
      <c r="AX350" s="349"/>
      <c r="AY350" s="349"/>
      <c r="AZ350" s="349"/>
      <c r="BA350" s="349"/>
      <c r="BB350" s="349"/>
      <c r="BC350" s="349"/>
      <c r="BD350" s="349"/>
      <c r="BE350" s="349"/>
      <c r="BF350" s="349"/>
      <c r="BG350" s="349"/>
      <c r="BH350" s="349"/>
      <c r="BI350" s="349"/>
      <c r="BJ350" s="349"/>
      <c r="BK350" s="349"/>
      <c r="BL350" s="349"/>
      <c r="BM350" s="349"/>
      <c r="BN350" s="349"/>
      <c r="BO350" s="349"/>
      <c r="BP350" s="349"/>
      <c r="BQ350" s="349"/>
      <c r="BR350" s="349"/>
      <c r="BS350" s="349"/>
    </row>
    <row r="351" spans="1:71" x14ac:dyDescent="0.3">
      <c r="A351" s="349"/>
      <c r="B351" s="349"/>
      <c r="C351" s="349"/>
      <c r="D351" s="349"/>
      <c r="E351" s="349"/>
      <c r="F351" s="349"/>
      <c r="G351" s="349"/>
      <c r="H351" s="349"/>
      <c r="I351" s="349"/>
      <c r="J351" s="349"/>
      <c r="K351" s="349"/>
      <c r="L351" s="349"/>
      <c r="M351" s="349"/>
      <c r="N351" s="349"/>
      <c r="O351" s="349"/>
      <c r="P351" s="349"/>
      <c r="Q351" s="349"/>
      <c r="R351" s="349"/>
      <c r="S351" s="349"/>
      <c r="T351" s="349"/>
      <c r="U351" s="349"/>
      <c r="V351" s="349"/>
      <c r="W351" s="349"/>
      <c r="X351" s="349"/>
      <c r="Y351" s="349"/>
      <c r="Z351" s="349"/>
      <c r="AA351" s="349"/>
      <c r="AB351" s="349"/>
      <c r="AC351" s="349"/>
      <c r="AD351" s="349"/>
      <c r="AE351" s="349"/>
      <c r="AF351" s="349"/>
      <c r="AG351" s="349"/>
      <c r="AH351" s="349"/>
      <c r="AI351" s="349"/>
      <c r="AJ351" s="349"/>
      <c r="AK351" s="349"/>
      <c r="AL351" s="349"/>
      <c r="AM351" s="349"/>
      <c r="AN351" s="349"/>
      <c r="AO351" s="349"/>
      <c r="AP351" s="349"/>
      <c r="AQ351" s="349"/>
      <c r="AR351" s="349"/>
      <c r="AS351" s="349"/>
      <c r="AT351" s="349"/>
      <c r="AU351" s="349"/>
      <c r="AV351" s="349"/>
      <c r="AW351" s="349"/>
      <c r="AX351" s="349"/>
      <c r="AY351" s="349"/>
      <c r="AZ351" s="349"/>
      <c r="BA351" s="349"/>
      <c r="BB351" s="349"/>
      <c r="BC351" s="349"/>
      <c r="BD351" s="349"/>
      <c r="BE351" s="349"/>
      <c r="BF351" s="349"/>
      <c r="BG351" s="349"/>
      <c r="BH351" s="349"/>
      <c r="BI351" s="349"/>
      <c r="BJ351" s="349"/>
      <c r="BK351" s="349"/>
      <c r="BL351" s="349"/>
      <c r="BM351" s="349"/>
      <c r="BN351" s="349"/>
      <c r="BO351" s="349"/>
      <c r="BP351" s="349"/>
      <c r="BQ351" s="349"/>
      <c r="BR351" s="349"/>
      <c r="BS351" s="349"/>
    </row>
    <row r="352" spans="1:71" x14ac:dyDescent="0.3">
      <c r="A352" s="349"/>
      <c r="B352" s="349"/>
      <c r="C352" s="349"/>
      <c r="D352" s="349"/>
      <c r="E352" s="349"/>
      <c r="F352" s="349"/>
      <c r="G352" s="349"/>
      <c r="H352" s="349"/>
      <c r="I352" s="349"/>
      <c r="J352" s="349"/>
      <c r="K352" s="349"/>
      <c r="L352" s="349"/>
      <c r="M352" s="349"/>
      <c r="N352" s="349"/>
      <c r="O352" s="349"/>
      <c r="P352" s="349"/>
      <c r="Q352" s="349"/>
      <c r="R352" s="349"/>
      <c r="S352" s="349"/>
      <c r="T352" s="349"/>
      <c r="U352" s="349"/>
      <c r="V352" s="349"/>
      <c r="W352" s="349"/>
      <c r="X352" s="349"/>
      <c r="Y352" s="349"/>
      <c r="Z352" s="349"/>
      <c r="AA352" s="349"/>
      <c r="AB352" s="349"/>
      <c r="AC352" s="349"/>
      <c r="AD352" s="349"/>
      <c r="AE352" s="349"/>
      <c r="AF352" s="349"/>
      <c r="AG352" s="349"/>
      <c r="AH352" s="349"/>
      <c r="AI352" s="349"/>
      <c r="AJ352" s="349"/>
      <c r="AK352" s="349"/>
      <c r="AL352" s="349"/>
      <c r="AM352" s="349"/>
      <c r="AN352" s="349"/>
      <c r="AO352" s="349"/>
      <c r="AP352" s="349"/>
      <c r="AQ352" s="349"/>
      <c r="AR352" s="349"/>
      <c r="AS352" s="349"/>
      <c r="AT352" s="349"/>
      <c r="AU352" s="349"/>
      <c r="AV352" s="349"/>
      <c r="AW352" s="349"/>
      <c r="AX352" s="349"/>
      <c r="AY352" s="349"/>
      <c r="AZ352" s="349"/>
      <c r="BA352" s="349"/>
      <c r="BB352" s="349"/>
      <c r="BC352" s="349"/>
      <c r="BD352" s="349"/>
      <c r="BE352" s="349"/>
      <c r="BF352" s="349"/>
      <c r="BG352" s="349"/>
      <c r="BH352" s="349"/>
      <c r="BI352" s="349"/>
      <c r="BJ352" s="349"/>
      <c r="BK352" s="349"/>
      <c r="BL352" s="349"/>
      <c r="BM352" s="349"/>
      <c r="BN352" s="349"/>
      <c r="BO352" s="349"/>
      <c r="BP352" s="349"/>
      <c r="BQ352" s="349"/>
      <c r="BR352" s="349"/>
      <c r="BS352" s="349"/>
    </row>
    <row r="353" spans="1:71" x14ac:dyDescent="0.3">
      <c r="A353" s="349"/>
      <c r="B353" s="349"/>
      <c r="C353" s="349"/>
      <c r="D353" s="349"/>
      <c r="E353" s="349"/>
      <c r="F353" s="349"/>
      <c r="G353" s="349"/>
      <c r="H353" s="349"/>
      <c r="I353" s="349"/>
      <c r="J353" s="349"/>
      <c r="K353" s="349"/>
      <c r="L353" s="349"/>
      <c r="M353" s="349"/>
      <c r="N353" s="349"/>
      <c r="O353" s="349"/>
      <c r="P353" s="349"/>
      <c r="Q353" s="349"/>
      <c r="R353" s="349"/>
      <c r="S353" s="349"/>
      <c r="T353" s="349"/>
      <c r="U353" s="349"/>
      <c r="V353" s="349"/>
      <c r="W353" s="349"/>
      <c r="X353" s="349"/>
      <c r="Y353" s="349"/>
      <c r="Z353" s="349"/>
      <c r="AA353" s="349"/>
      <c r="AB353" s="349"/>
      <c r="AC353" s="349"/>
      <c r="AD353" s="349"/>
      <c r="AE353" s="349"/>
      <c r="AF353" s="349"/>
      <c r="AG353" s="349"/>
      <c r="AH353" s="349"/>
      <c r="AI353" s="349"/>
      <c r="AJ353" s="349"/>
      <c r="AK353" s="349"/>
      <c r="AL353" s="349"/>
      <c r="AM353" s="349"/>
      <c r="AN353" s="349"/>
      <c r="AO353" s="349"/>
      <c r="AP353" s="349"/>
      <c r="AQ353" s="349"/>
      <c r="AR353" s="349"/>
      <c r="AS353" s="349"/>
      <c r="AT353" s="349"/>
      <c r="AU353" s="349"/>
      <c r="AV353" s="349"/>
      <c r="AW353" s="349"/>
      <c r="AX353" s="349"/>
      <c r="AY353" s="349"/>
      <c r="AZ353" s="349"/>
      <c r="BA353" s="349"/>
      <c r="BB353" s="349"/>
      <c r="BC353" s="349"/>
      <c r="BD353" s="349"/>
      <c r="BE353" s="349"/>
      <c r="BF353" s="349"/>
      <c r="BG353" s="349"/>
      <c r="BH353" s="349"/>
      <c r="BI353" s="349"/>
      <c r="BJ353" s="349"/>
      <c r="BK353" s="349"/>
      <c r="BL353" s="349"/>
      <c r="BM353" s="349"/>
      <c r="BN353" s="349"/>
      <c r="BO353" s="349"/>
      <c r="BP353" s="349"/>
      <c r="BQ353" s="349"/>
      <c r="BR353" s="349"/>
      <c r="BS353" s="349"/>
    </row>
    <row r="354" spans="1:71" x14ac:dyDescent="0.3">
      <c r="A354" s="349"/>
      <c r="B354" s="349"/>
      <c r="C354" s="349"/>
      <c r="D354" s="349"/>
      <c r="E354" s="349"/>
      <c r="F354" s="349"/>
      <c r="G354" s="349"/>
      <c r="H354" s="349"/>
      <c r="I354" s="349"/>
      <c r="J354" s="349"/>
      <c r="K354" s="349"/>
      <c r="L354" s="349"/>
      <c r="M354" s="349"/>
      <c r="N354" s="349"/>
      <c r="O354" s="349"/>
      <c r="P354" s="349"/>
      <c r="Q354" s="349"/>
      <c r="R354" s="349"/>
      <c r="S354" s="349"/>
      <c r="T354" s="349"/>
      <c r="U354" s="349"/>
      <c r="V354" s="349"/>
      <c r="W354" s="349"/>
      <c r="X354" s="349"/>
      <c r="Y354" s="349"/>
      <c r="Z354" s="349"/>
      <c r="AA354" s="349"/>
      <c r="AB354" s="349"/>
      <c r="AC354" s="349"/>
      <c r="AD354" s="349"/>
      <c r="AE354" s="349"/>
      <c r="AF354" s="349"/>
      <c r="AG354" s="349"/>
      <c r="AH354" s="349"/>
      <c r="AI354" s="349"/>
      <c r="AJ354" s="349"/>
      <c r="AK354" s="349"/>
      <c r="AL354" s="349"/>
      <c r="AM354" s="349"/>
      <c r="AN354" s="349"/>
      <c r="AO354" s="349"/>
      <c r="AP354" s="349"/>
      <c r="AQ354" s="349"/>
      <c r="AR354" s="349"/>
      <c r="AS354" s="349"/>
      <c r="AT354" s="349"/>
      <c r="AU354" s="349"/>
      <c r="AV354" s="349"/>
      <c r="AW354" s="349"/>
      <c r="AX354" s="349"/>
      <c r="AY354" s="349"/>
      <c r="AZ354" s="349"/>
      <c r="BA354" s="349"/>
      <c r="BB354" s="349"/>
      <c r="BC354" s="349"/>
      <c r="BD354" s="349"/>
      <c r="BE354" s="349"/>
      <c r="BF354" s="349"/>
      <c r="BG354" s="349"/>
      <c r="BH354" s="349"/>
      <c r="BI354" s="349"/>
      <c r="BJ354" s="349"/>
      <c r="BK354" s="349"/>
      <c r="BL354" s="349"/>
      <c r="BM354" s="349"/>
      <c r="BN354" s="349"/>
      <c r="BO354" s="349"/>
      <c r="BP354" s="349"/>
      <c r="BQ354" s="349"/>
      <c r="BR354" s="349"/>
      <c r="BS354" s="349"/>
    </row>
    <row r="355" spans="1:71" x14ac:dyDescent="0.3">
      <c r="A355" s="349"/>
      <c r="B355" s="349"/>
      <c r="C355" s="349"/>
      <c r="D355" s="349"/>
      <c r="E355" s="349"/>
      <c r="F355" s="349"/>
      <c r="G355" s="349"/>
      <c r="H355" s="349"/>
      <c r="I355" s="349"/>
      <c r="J355" s="349"/>
      <c r="K355" s="349"/>
      <c r="L355" s="349"/>
      <c r="M355" s="349"/>
      <c r="N355" s="349"/>
      <c r="O355" s="349"/>
      <c r="P355" s="349"/>
      <c r="Q355" s="349"/>
      <c r="R355" s="349"/>
      <c r="S355" s="349"/>
      <c r="T355" s="349"/>
      <c r="U355" s="349"/>
      <c r="V355" s="349"/>
      <c r="W355" s="349"/>
      <c r="X355" s="349"/>
      <c r="Y355" s="349"/>
      <c r="Z355" s="349"/>
      <c r="AA355" s="349"/>
      <c r="AB355" s="349"/>
      <c r="AC355" s="349"/>
      <c r="AD355" s="349"/>
      <c r="AE355" s="349"/>
      <c r="AF355" s="349"/>
      <c r="AG355" s="349"/>
      <c r="AH355" s="349"/>
      <c r="AI355" s="349"/>
      <c r="AJ355" s="349"/>
      <c r="AK355" s="349"/>
      <c r="AL355" s="349"/>
      <c r="AM355" s="349"/>
      <c r="AN355" s="349"/>
      <c r="AO355" s="349"/>
      <c r="AP355" s="349"/>
      <c r="AQ355" s="349"/>
      <c r="AR355" s="349"/>
      <c r="AS355" s="349"/>
      <c r="AT355" s="349"/>
      <c r="AU355" s="349"/>
      <c r="AV355" s="349"/>
      <c r="AW355" s="349"/>
      <c r="AX355" s="349"/>
      <c r="AY355" s="349"/>
      <c r="AZ355" s="349"/>
      <c r="BA355" s="349"/>
      <c r="BB355" s="349"/>
      <c r="BC355" s="349"/>
      <c r="BD355" s="349"/>
      <c r="BE355" s="349"/>
      <c r="BF355" s="349"/>
      <c r="BG355" s="349"/>
      <c r="BH355" s="349"/>
      <c r="BI355" s="349"/>
      <c r="BJ355" s="349"/>
      <c r="BK355" s="349"/>
      <c r="BL355" s="349"/>
      <c r="BM355" s="349"/>
      <c r="BN355" s="349"/>
      <c r="BO355" s="349"/>
      <c r="BP355" s="349"/>
      <c r="BQ355" s="349"/>
      <c r="BR355" s="349"/>
      <c r="BS355" s="349"/>
    </row>
    <row r="356" spans="1:71" x14ac:dyDescent="0.3">
      <c r="A356" s="349"/>
      <c r="B356" s="349"/>
      <c r="C356" s="349"/>
      <c r="D356" s="349"/>
      <c r="E356" s="349"/>
      <c r="F356" s="349"/>
      <c r="G356" s="349"/>
      <c r="H356" s="349"/>
      <c r="I356" s="349"/>
      <c r="J356" s="349"/>
      <c r="K356" s="349"/>
      <c r="L356" s="349"/>
      <c r="M356" s="349"/>
      <c r="N356" s="349"/>
      <c r="O356" s="349"/>
      <c r="P356" s="349"/>
      <c r="Q356" s="349"/>
      <c r="R356" s="349"/>
      <c r="S356" s="349"/>
      <c r="T356" s="349"/>
      <c r="U356" s="349"/>
      <c r="V356" s="349"/>
      <c r="W356" s="349"/>
      <c r="X356" s="349"/>
      <c r="Y356" s="349"/>
      <c r="Z356" s="349"/>
      <c r="AA356" s="349"/>
      <c r="AB356" s="349"/>
      <c r="AC356" s="349"/>
      <c r="AD356" s="349"/>
      <c r="AE356" s="349"/>
      <c r="AF356" s="349"/>
      <c r="AG356" s="349"/>
      <c r="AH356" s="349"/>
      <c r="AI356" s="349"/>
      <c r="AJ356" s="349"/>
      <c r="AK356" s="349"/>
      <c r="AL356" s="349"/>
      <c r="AM356" s="349"/>
      <c r="AN356" s="349"/>
      <c r="AO356" s="349"/>
      <c r="AP356" s="349"/>
      <c r="AQ356" s="349"/>
      <c r="AR356" s="349"/>
      <c r="AS356" s="349"/>
      <c r="AT356" s="349"/>
      <c r="AU356" s="349"/>
      <c r="AV356" s="349"/>
      <c r="AW356" s="349"/>
      <c r="AX356" s="349"/>
      <c r="AY356" s="349"/>
      <c r="AZ356" s="349"/>
      <c r="BA356" s="349"/>
      <c r="BB356" s="349"/>
      <c r="BC356" s="349"/>
      <c r="BD356" s="349"/>
      <c r="BE356" s="349"/>
      <c r="BF356" s="349"/>
      <c r="BG356" s="349"/>
      <c r="BH356" s="349"/>
      <c r="BI356" s="349"/>
      <c r="BJ356" s="349"/>
      <c r="BK356" s="349"/>
      <c r="BL356" s="349"/>
      <c r="BM356" s="349"/>
      <c r="BN356" s="349"/>
      <c r="BO356" s="349"/>
      <c r="BP356" s="349"/>
      <c r="BQ356" s="349"/>
      <c r="BR356" s="349"/>
      <c r="BS356" s="349"/>
    </row>
    <row r="357" spans="1:71" x14ac:dyDescent="0.3">
      <c r="A357" s="349"/>
      <c r="B357" s="349"/>
      <c r="C357" s="349"/>
      <c r="D357" s="349"/>
      <c r="E357" s="349"/>
      <c r="F357" s="349"/>
      <c r="G357" s="349"/>
      <c r="H357" s="349"/>
      <c r="I357" s="349"/>
      <c r="J357" s="349"/>
      <c r="K357" s="349"/>
      <c r="L357" s="349"/>
      <c r="M357" s="349"/>
      <c r="N357" s="349"/>
      <c r="O357" s="349"/>
      <c r="P357" s="349"/>
      <c r="Q357" s="349"/>
      <c r="R357" s="349"/>
      <c r="S357" s="349"/>
      <c r="T357" s="349"/>
      <c r="U357" s="349"/>
      <c r="V357" s="349"/>
      <c r="W357" s="349"/>
      <c r="X357" s="349"/>
      <c r="Y357" s="349"/>
      <c r="Z357" s="349"/>
      <c r="AA357" s="349"/>
      <c r="AB357" s="349"/>
      <c r="AC357" s="349"/>
      <c r="AD357" s="349"/>
      <c r="AE357" s="349"/>
      <c r="AF357" s="349"/>
      <c r="AG357" s="349"/>
      <c r="AH357" s="349"/>
      <c r="AI357" s="349"/>
      <c r="AJ357" s="349"/>
      <c r="AK357" s="349"/>
      <c r="AL357" s="349"/>
      <c r="AM357" s="349"/>
      <c r="AN357" s="349"/>
      <c r="AO357" s="349"/>
      <c r="AP357" s="349"/>
      <c r="AQ357" s="349"/>
      <c r="AR357" s="349"/>
      <c r="AS357" s="349"/>
      <c r="AT357" s="349"/>
      <c r="AU357" s="349"/>
      <c r="AV357" s="349"/>
      <c r="AW357" s="349"/>
      <c r="AX357" s="349"/>
      <c r="AY357" s="349"/>
      <c r="AZ357" s="349"/>
      <c r="BA357" s="349"/>
      <c r="BB357" s="349"/>
      <c r="BC357" s="349"/>
      <c r="BD357" s="349"/>
      <c r="BE357" s="349"/>
      <c r="BF357" s="349"/>
      <c r="BG357" s="349"/>
      <c r="BH357" s="349"/>
      <c r="BI357" s="349"/>
      <c r="BJ357" s="349"/>
      <c r="BK357" s="349"/>
      <c r="BL357" s="349"/>
      <c r="BM357" s="349"/>
      <c r="BN357" s="349"/>
      <c r="BO357" s="349"/>
      <c r="BP357" s="349"/>
      <c r="BQ357" s="349"/>
      <c r="BR357" s="349"/>
      <c r="BS357" s="349"/>
    </row>
    <row r="358" spans="1:71" x14ac:dyDescent="0.3">
      <c r="A358" s="349"/>
      <c r="B358" s="349"/>
      <c r="C358" s="349"/>
      <c r="D358" s="349"/>
      <c r="E358" s="349"/>
      <c r="F358" s="349"/>
      <c r="G358" s="349"/>
      <c r="H358" s="349"/>
      <c r="I358" s="349"/>
      <c r="J358" s="349"/>
      <c r="K358" s="349"/>
      <c r="L358" s="349"/>
      <c r="M358" s="349"/>
      <c r="N358" s="349"/>
      <c r="O358" s="349"/>
      <c r="P358" s="349"/>
      <c r="Q358" s="349"/>
      <c r="R358" s="349"/>
      <c r="S358" s="349"/>
      <c r="T358" s="349"/>
      <c r="U358" s="349"/>
      <c r="V358" s="349"/>
      <c r="W358" s="349"/>
      <c r="X358" s="349"/>
      <c r="Y358" s="349"/>
      <c r="Z358" s="349"/>
      <c r="AA358" s="349"/>
      <c r="AB358" s="349"/>
      <c r="AC358" s="349"/>
      <c r="AD358" s="349"/>
      <c r="AE358" s="349"/>
      <c r="AF358" s="349"/>
      <c r="AG358" s="349"/>
      <c r="AH358" s="349"/>
      <c r="AI358" s="349"/>
      <c r="AJ358" s="349"/>
      <c r="AK358" s="349"/>
      <c r="AL358" s="349"/>
      <c r="AM358" s="349"/>
      <c r="AN358" s="349"/>
      <c r="AO358" s="349"/>
      <c r="AP358" s="349"/>
      <c r="AQ358" s="349"/>
      <c r="AR358" s="349"/>
      <c r="AS358" s="349"/>
      <c r="AT358" s="349"/>
      <c r="AU358" s="349"/>
      <c r="AV358" s="349"/>
      <c r="AW358" s="349"/>
      <c r="AX358" s="349"/>
      <c r="AY358" s="349"/>
      <c r="AZ358" s="349"/>
      <c r="BA358" s="349"/>
      <c r="BB358" s="349"/>
      <c r="BC358" s="349"/>
      <c r="BD358" s="349"/>
      <c r="BE358" s="349"/>
      <c r="BF358" s="349"/>
      <c r="BG358" s="349"/>
      <c r="BH358" s="349"/>
      <c r="BI358" s="349"/>
      <c r="BJ358" s="349"/>
      <c r="BK358" s="349"/>
      <c r="BL358" s="349"/>
      <c r="BM358" s="349"/>
      <c r="BN358" s="349"/>
      <c r="BO358" s="349"/>
      <c r="BP358" s="349"/>
      <c r="BQ358" s="349"/>
      <c r="BR358" s="349"/>
      <c r="BS358" s="349"/>
    </row>
    <row r="359" spans="1:71" x14ac:dyDescent="0.3">
      <c r="A359" s="349"/>
      <c r="B359" s="349"/>
      <c r="C359" s="349"/>
      <c r="D359" s="349"/>
      <c r="E359" s="349"/>
      <c r="F359" s="349"/>
      <c r="G359" s="349"/>
      <c r="H359" s="349"/>
      <c r="I359" s="349"/>
      <c r="J359" s="349"/>
      <c r="K359" s="349"/>
      <c r="L359" s="349"/>
      <c r="M359" s="349"/>
      <c r="N359" s="349"/>
      <c r="O359" s="349"/>
      <c r="P359" s="349"/>
      <c r="Q359" s="349"/>
      <c r="R359" s="349"/>
      <c r="S359" s="349"/>
      <c r="T359" s="349"/>
      <c r="U359" s="349"/>
      <c r="V359" s="349"/>
      <c r="W359" s="349"/>
      <c r="X359" s="349"/>
      <c r="Y359" s="349"/>
      <c r="Z359" s="349"/>
      <c r="AA359" s="349"/>
      <c r="AB359" s="349"/>
      <c r="AC359" s="349"/>
      <c r="AD359" s="349"/>
      <c r="AE359" s="349"/>
      <c r="AF359" s="349"/>
      <c r="AG359" s="349"/>
      <c r="AH359" s="349"/>
      <c r="AI359" s="349"/>
      <c r="AJ359" s="349"/>
      <c r="AK359" s="349"/>
      <c r="AL359" s="349"/>
      <c r="AM359" s="349"/>
      <c r="AN359" s="349"/>
      <c r="AO359" s="349"/>
      <c r="AP359" s="349"/>
      <c r="AQ359" s="349"/>
      <c r="AR359" s="349"/>
      <c r="AS359" s="349"/>
      <c r="AT359" s="349"/>
      <c r="AU359" s="349"/>
      <c r="AV359" s="349"/>
      <c r="AW359" s="349"/>
      <c r="AX359" s="349"/>
      <c r="AY359" s="349"/>
      <c r="AZ359" s="349"/>
      <c r="BA359" s="349"/>
      <c r="BB359" s="349"/>
      <c r="BC359" s="349"/>
      <c r="BD359" s="349"/>
      <c r="BE359" s="349"/>
      <c r="BF359" s="349"/>
      <c r="BG359" s="349"/>
      <c r="BH359" s="349"/>
      <c r="BI359" s="349"/>
      <c r="BJ359" s="349"/>
      <c r="BK359" s="349"/>
      <c r="BL359" s="349"/>
      <c r="BM359" s="349"/>
      <c r="BN359" s="349"/>
      <c r="BO359" s="349"/>
      <c r="BP359" s="349"/>
      <c r="BQ359" s="349"/>
      <c r="BR359" s="349"/>
      <c r="BS359" s="349"/>
    </row>
    <row r="360" spans="1:71" x14ac:dyDescent="0.3">
      <c r="A360" s="349"/>
      <c r="B360" s="349"/>
      <c r="C360" s="349"/>
      <c r="D360" s="349"/>
      <c r="E360" s="349"/>
      <c r="F360" s="349"/>
      <c r="G360" s="349"/>
      <c r="H360" s="349"/>
      <c r="I360" s="349"/>
      <c r="J360" s="349"/>
      <c r="K360" s="349"/>
      <c r="L360" s="349"/>
      <c r="M360" s="349"/>
      <c r="N360" s="349"/>
      <c r="O360" s="349"/>
      <c r="P360" s="349"/>
      <c r="Q360" s="349"/>
      <c r="R360" s="349"/>
      <c r="S360" s="349"/>
      <c r="T360" s="349"/>
      <c r="U360" s="349"/>
      <c r="V360" s="349"/>
      <c r="W360" s="349"/>
      <c r="X360" s="349"/>
      <c r="Y360" s="349"/>
      <c r="Z360" s="349"/>
      <c r="AA360" s="349"/>
      <c r="AB360" s="349"/>
      <c r="AC360" s="349"/>
      <c r="AD360" s="349"/>
      <c r="AE360" s="349"/>
      <c r="AF360" s="349"/>
      <c r="AG360" s="349"/>
      <c r="AH360" s="349"/>
      <c r="AI360" s="349"/>
      <c r="AJ360" s="349"/>
      <c r="AK360" s="349"/>
      <c r="AL360" s="349"/>
      <c r="AM360" s="349"/>
      <c r="AN360" s="349"/>
      <c r="AO360" s="349"/>
      <c r="AP360" s="349"/>
      <c r="AQ360" s="349"/>
      <c r="AR360" s="349"/>
      <c r="AS360" s="349"/>
      <c r="AT360" s="349"/>
      <c r="AU360" s="349"/>
      <c r="AV360" s="349"/>
      <c r="AW360" s="349"/>
      <c r="AX360" s="349"/>
      <c r="AY360" s="349"/>
      <c r="AZ360" s="349"/>
      <c r="BA360" s="349"/>
      <c r="BB360" s="349"/>
      <c r="BC360" s="349"/>
      <c r="BD360" s="349"/>
      <c r="BE360" s="349"/>
      <c r="BF360" s="349"/>
      <c r="BG360" s="349"/>
      <c r="BH360" s="349"/>
      <c r="BI360" s="349"/>
      <c r="BJ360" s="349"/>
      <c r="BK360" s="349"/>
      <c r="BL360" s="349"/>
      <c r="BM360" s="349"/>
      <c r="BN360" s="349"/>
      <c r="BO360" s="349"/>
      <c r="BP360" s="349"/>
      <c r="BQ360" s="349"/>
      <c r="BR360" s="349"/>
      <c r="BS360" s="349"/>
    </row>
    <row r="361" spans="1:71" x14ac:dyDescent="0.3">
      <c r="A361" s="349"/>
      <c r="B361" s="349"/>
      <c r="C361" s="349"/>
      <c r="D361" s="349"/>
      <c r="E361" s="349"/>
      <c r="F361" s="349"/>
      <c r="G361" s="349"/>
      <c r="H361" s="349"/>
      <c r="I361" s="349"/>
      <c r="J361" s="349"/>
      <c r="K361" s="349"/>
      <c r="L361" s="349"/>
      <c r="M361" s="349"/>
      <c r="N361" s="349"/>
      <c r="O361" s="349"/>
      <c r="P361" s="349"/>
      <c r="Q361" s="349"/>
      <c r="R361" s="349"/>
      <c r="S361" s="349"/>
      <c r="T361" s="349"/>
      <c r="U361" s="349"/>
      <c r="V361" s="349"/>
      <c r="W361" s="349"/>
      <c r="X361" s="349"/>
      <c r="Y361" s="349"/>
      <c r="Z361" s="349"/>
      <c r="AA361" s="349"/>
      <c r="AB361" s="349"/>
      <c r="AC361" s="349"/>
      <c r="AD361" s="349"/>
      <c r="AE361" s="349"/>
      <c r="AF361" s="349"/>
      <c r="AG361" s="349"/>
      <c r="AH361" s="349"/>
      <c r="AI361" s="349"/>
      <c r="AJ361" s="349"/>
      <c r="AK361" s="349"/>
      <c r="AL361" s="349"/>
      <c r="AM361" s="349"/>
      <c r="AN361" s="349"/>
      <c r="AO361" s="349"/>
      <c r="AP361" s="349"/>
      <c r="AQ361" s="349"/>
      <c r="AR361" s="349"/>
      <c r="AS361" s="349"/>
      <c r="AT361" s="349"/>
      <c r="AU361" s="349"/>
      <c r="AV361" s="349"/>
      <c r="AW361" s="349"/>
      <c r="AX361" s="349"/>
      <c r="AY361" s="349"/>
      <c r="AZ361" s="349"/>
      <c r="BA361" s="349"/>
      <c r="BB361" s="349"/>
      <c r="BC361" s="349"/>
      <c r="BD361" s="349"/>
      <c r="BE361" s="349"/>
      <c r="BF361" s="349"/>
      <c r="BG361" s="349"/>
      <c r="BH361" s="349"/>
      <c r="BI361" s="349"/>
      <c r="BJ361" s="349"/>
      <c r="BK361" s="349"/>
      <c r="BL361" s="349"/>
      <c r="BM361" s="349"/>
      <c r="BN361" s="349"/>
      <c r="BO361" s="349"/>
      <c r="BP361" s="349"/>
      <c r="BQ361" s="349"/>
      <c r="BR361" s="349"/>
      <c r="BS361" s="349"/>
    </row>
    <row r="362" spans="1:71" x14ac:dyDescent="0.3">
      <c r="A362" s="349"/>
      <c r="B362" s="349"/>
      <c r="C362" s="349"/>
      <c r="D362" s="349"/>
      <c r="E362" s="349"/>
      <c r="F362" s="349"/>
      <c r="G362" s="349"/>
      <c r="H362" s="349"/>
      <c r="I362" s="349"/>
      <c r="J362" s="349"/>
      <c r="K362" s="349"/>
      <c r="L362" s="349"/>
      <c r="M362" s="349"/>
      <c r="N362" s="349"/>
      <c r="O362" s="349"/>
      <c r="P362" s="349"/>
      <c r="Q362" s="349"/>
      <c r="R362" s="349"/>
      <c r="S362" s="349"/>
      <c r="T362" s="349"/>
      <c r="U362" s="349"/>
      <c r="V362" s="349"/>
      <c r="W362" s="349"/>
      <c r="X362" s="349"/>
      <c r="Y362" s="349"/>
      <c r="Z362" s="349"/>
      <c r="AA362" s="349"/>
      <c r="AB362" s="349"/>
      <c r="AC362" s="349"/>
      <c r="AD362" s="349"/>
      <c r="AE362" s="349"/>
      <c r="AF362" s="349"/>
      <c r="AG362" s="349"/>
      <c r="AH362" s="349"/>
      <c r="AI362" s="349"/>
      <c r="AJ362" s="349"/>
      <c r="AK362" s="349"/>
      <c r="AL362" s="349"/>
      <c r="AM362" s="349"/>
      <c r="AN362" s="349"/>
      <c r="AO362" s="349"/>
      <c r="AP362" s="349"/>
      <c r="AQ362" s="349"/>
      <c r="AR362" s="349"/>
      <c r="AS362" s="349"/>
      <c r="AT362" s="349"/>
      <c r="AU362" s="349"/>
      <c r="AV362" s="349"/>
      <c r="AW362" s="349"/>
      <c r="AX362" s="349"/>
      <c r="AY362" s="349"/>
      <c r="AZ362" s="349"/>
      <c r="BA362" s="349"/>
      <c r="BB362" s="349"/>
      <c r="BC362" s="349"/>
      <c r="BD362" s="349"/>
      <c r="BE362" s="349"/>
      <c r="BF362" s="349"/>
      <c r="BG362" s="349"/>
      <c r="BH362" s="349"/>
      <c r="BI362" s="349"/>
      <c r="BJ362" s="349"/>
      <c r="BK362" s="349"/>
      <c r="BL362" s="349"/>
      <c r="BM362" s="349"/>
      <c r="BN362" s="349"/>
      <c r="BO362" s="349"/>
      <c r="BP362" s="349"/>
      <c r="BQ362" s="349"/>
      <c r="BR362" s="349"/>
      <c r="BS362" s="349"/>
    </row>
    <row r="363" spans="1:71" x14ac:dyDescent="0.3">
      <c r="A363" s="349"/>
      <c r="B363" s="349"/>
      <c r="C363" s="349"/>
      <c r="D363" s="349"/>
      <c r="E363" s="349"/>
      <c r="F363" s="349"/>
      <c r="G363" s="349"/>
      <c r="H363" s="349"/>
      <c r="I363" s="349"/>
      <c r="J363" s="349"/>
      <c r="K363" s="349"/>
      <c r="L363" s="349"/>
      <c r="M363" s="349"/>
      <c r="N363" s="349"/>
      <c r="O363" s="349"/>
      <c r="P363" s="349"/>
      <c r="Q363" s="349"/>
      <c r="R363" s="349"/>
      <c r="S363" s="349"/>
      <c r="T363" s="349"/>
      <c r="U363" s="349"/>
      <c r="V363" s="349"/>
      <c r="W363" s="349"/>
      <c r="X363" s="349"/>
      <c r="Y363" s="349"/>
      <c r="Z363" s="349"/>
      <c r="AA363" s="349"/>
      <c r="AB363" s="349"/>
      <c r="AC363" s="349"/>
      <c r="AD363" s="349"/>
      <c r="AE363" s="349"/>
      <c r="AF363" s="349"/>
      <c r="AG363" s="349"/>
      <c r="AH363" s="349"/>
      <c r="AI363" s="349"/>
      <c r="AJ363" s="349"/>
      <c r="AK363" s="349"/>
      <c r="AL363" s="349"/>
      <c r="AM363" s="349"/>
      <c r="AN363" s="349"/>
      <c r="AO363" s="349"/>
      <c r="AP363" s="349"/>
      <c r="AQ363" s="349"/>
      <c r="AR363" s="349"/>
      <c r="AS363" s="349"/>
      <c r="AT363" s="349"/>
      <c r="AU363" s="349"/>
      <c r="AV363" s="349"/>
      <c r="AW363" s="349"/>
      <c r="AX363" s="349"/>
      <c r="AY363" s="349"/>
      <c r="AZ363" s="349"/>
      <c r="BA363" s="349"/>
      <c r="BB363" s="349"/>
      <c r="BC363" s="349"/>
      <c r="BD363" s="349"/>
      <c r="BE363" s="349"/>
      <c r="BF363" s="349"/>
      <c r="BG363" s="349"/>
      <c r="BH363" s="349"/>
      <c r="BI363" s="349"/>
      <c r="BJ363" s="349"/>
      <c r="BK363" s="349"/>
      <c r="BL363" s="349"/>
      <c r="BM363" s="349"/>
      <c r="BN363" s="349"/>
      <c r="BO363" s="349"/>
      <c r="BP363" s="349"/>
      <c r="BQ363" s="349"/>
      <c r="BR363" s="349"/>
      <c r="BS363" s="349"/>
    </row>
    <row r="364" spans="1:71" x14ac:dyDescent="0.3">
      <c r="A364" s="349"/>
      <c r="B364" s="349"/>
      <c r="C364" s="349"/>
      <c r="D364" s="349"/>
      <c r="E364" s="349"/>
      <c r="F364" s="349"/>
      <c r="G364" s="349"/>
      <c r="H364" s="349"/>
      <c r="I364" s="349"/>
      <c r="J364" s="349"/>
      <c r="K364" s="349"/>
      <c r="L364" s="349"/>
      <c r="M364" s="349"/>
      <c r="N364" s="349"/>
      <c r="O364" s="349"/>
      <c r="P364" s="349"/>
      <c r="Q364" s="349"/>
      <c r="R364" s="349"/>
      <c r="S364" s="349"/>
      <c r="T364" s="349"/>
      <c r="U364" s="349"/>
      <c r="V364" s="349"/>
      <c r="W364" s="349"/>
      <c r="X364" s="349"/>
      <c r="Y364" s="349"/>
      <c r="Z364" s="349"/>
      <c r="AA364" s="349"/>
      <c r="AB364" s="349"/>
      <c r="AC364" s="349"/>
      <c r="AD364" s="349"/>
      <c r="AE364" s="349"/>
      <c r="AF364" s="349"/>
      <c r="AG364" s="349"/>
      <c r="AH364" s="349"/>
      <c r="AI364" s="349"/>
      <c r="AJ364" s="349"/>
      <c r="AK364" s="349"/>
      <c r="AL364" s="349"/>
      <c r="AM364" s="349"/>
      <c r="AN364" s="349"/>
      <c r="AO364" s="349"/>
      <c r="AP364" s="349"/>
      <c r="AQ364" s="349"/>
      <c r="AR364" s="349"/>
      <c r="AS364" s="349"/>
      <c r="AT364" s="349"/>
      <c r="AU364" s="349"/>
      <c r="AV364" s="349"/>
      <c r="AW364" s="349"/>
      <c r="AX364" s="349"/>
      <c r="AY364" s="349"/>
      <c r="AZ364" s="349"/>
      <c r="BA364" s="349"/>
      <c r="BB364" s="349"/>
      <c r="BC364" s="349"/>
      <c r="BD364" s="349"/>
      <c r="BE364" s="349"/>
      <c r="BF364" s="349"/>
      <c r="BG364" s="349"/>
      <c r="BH364" s="349"/>
      <c r="BI364" s="349"/>
      <c r="BJ364" s="349"/>
      <c r="BK364" s="349"/>
      <c r="BL364" s="349"/>
      <c r="BM364" s="349"/>
      <c r="BN364" s="349"/>
      <c r="BO364" s="349"/>
      <c r="BP364" s="349"/>
      <c r="BQ364" s="349"/>
      <c r="BR364" s="349"/>
      <c r="BS364" s="349"/>
    </row>
    <row r="365" spans="1:71" x14ac:dyDescent="0.3">
      <c r="A365" s="349"/>
      <c r="B365" s="349"/>
      <c r="C365" s="349"/>
      <c r="D365" s="349"/>
      <c r="E365" s="349"/>
      <c r="F365" s="349"/>
      <c r="G365" s="349"/>
      <c r="H365" s="349"/>
      <c r="I365" s="349"/>
      <c r="J365" s="349"/>
      <c r="K365" s="349"/>
      <c r="L365" s="349"/>
      <c r="M365" s="349"/>
      <c r="N365" s="349"/>
      <c r="O365" s="349"/>
      <c r="P365" s="349"/>
      <c r="Q365" s="349"/>
      <c r="R365" s="349"/>
      <c r="S365" s="349"/>
      <c r="T365" s="349"/>
      <c r="U365" s="349"/>
      <c r="V365" s="349"/>
      <c r="W365" s="349"/>
      <c r="X365" s="349"/>
      <c r="Y365" s="349"/>
      <c r="Z365" s="349"/>
      <c r="AA365" s="349"/>
      <c r="AB365" s="349"/>
      <c r="AC365" s="349"/>
      <c r="AD365" s="349"/>
      <c r="AE365" s="349"/>
      <c r="AF365" s="349"/>
      <c r="AG365" s="349"/>
      <c r="AH365" s="349"/>
      <c r="AI365" s="349"/>
      <c r="AJ365" s="349"/>
      <c r="AK365" s="349"/>
      <c r="AL365" s="349"/>
      <c r="AM365" s="349"/>
      <c r="AN365" s="349"/>
      <c r="AO365" s="349"/>
      <c r="AP365" s="349"/>
      <c r="AQ365" s="349"/>
      <c r="AR365" s="349"/>
      <c r="AS365" s="349"/>
      <c r="AT365" s="349"/>
      <c r="AU365" s="349"/>
      <c r="AV365" s="349"/>
      <c r="AW365" s="349"/>
      <c r="AX365" s="349"/>
      <c r="AY365" s="349"/>
      <c r="AZ365" s="349"/>
      <c r="BA365" s="349"/>
      <c r="BB365" s="349"/>
      <c r="BC365" s="349"/>
      <c r="BD365" s="349"/>
      <c r="BE365" s="349"/>
      <c r="BF365" s="349"/>
      <c r="BG365" s="349"/>
      <c r="BH365" s="349"/>
      <c r="BI365" s="349"/>
      <c r="BJ365" s="349"/>
      <c r="BK365" s="349"/>
      <c r="BL365" s="349"/>
      <c r="BM365" s="349"/>
      <c r="BN365" s="349"/>
      <c r="BO365" s="349"/>
      <c r="BP365" s="349"/>
      <c r="BQ365" s="349"/>
      <c r="BR365" s="349"/>
      <c r="BS365" s="349"/>
    </row>
    <row r="366" spans="1:71" x14ac:dyDescent="0.3">
      <c r="A366" s="349"/>
      <c r="B366" s="349"/>
      <c r="C366" s="349"/>
      <c r="D366" s="349"/>
      <c r="E366" s="349"/>
      <c r="F366" s="349"/>
      <c r="G366" s="349"/>
      <c r="H366" s="349"/>
      <c r="I366" s="349"/>
      <c r="J366" s="349"/>
      <c r="K366" s="349"/>
      <c r="L366" s="349"/>
      <c r="M366" s="349"/>
      <c r="N366" s="349"/>
      <c r="O366" s="349"/>
      <c r="P366" s="349"/>
      <c r="Q366" s="349"/>
      <c r="R366" s="349"/>
      <c r="S366" s="349"/>
      <c r="T366" s="349"/>
      <c r="U366" s="349"/>
      <c r="V366" s="349"/>
      <c r="W366" s="349"/>
      <c r="X366" s="349"/>
      <c r="Y366" s="349"/>
      <c r="Z366" s="349"/>
      <c r="AA366" s="349"/>
      <c r="AB366" s="349"/>
      <c r="AC366" s="349"/>
      <c r="AD366" s="349"/>
      <c r="AE366" s="349"/>
      <c r="AF366" s="349"/>
      <c r="AG366" s="349"/>
      <c r="AH366" s="349"/>
      <c r="AI366" s="349"/>
      <c r="AJ366" s="349"/>
      <c r="AK366" s="349"/>
      <c r="AL366" s="349"/>
      <c r="AM366" s="349"/>
      <c r="AN366" s="349"/>
      <c r="AO366" s="349"/>
      <c r="AP366" s="349"/>
      <c r="AQ366" s="349"/>
      <c r="AR366" s="349"/>
      <c r="AS366" s="349"/>
      <c r="AT366" s="349"/>
      <c r="AU366" s="349"/>
      <c r="AV366" s="349"/>
      <c r="AW366" s="349"/>
      <c r="AX366" s="349"/>
      <c r="AY366" s="349"/>
      <c r="AZ366" s="349"/>
      <c r="BA366" s="349"/>
      <c r="BB366" s="349"/>
      <c r="BC366" s="349"/>
      <c r="BD366" s="349"/>
      <c r="BE366" s="349"/>
      <c r="BF366" s="349"/>
      <c r="BG366" s="349"/>
      <c r="BH366" s="349"/>
      <c r="BI366" s="349"/>
      <c r="BJ366" s="349"/>
      <c r="BK366" s="349"/>
      <c r="BL366" s="349"/>
      <c r="BM366" s="349"/>
      <c r="BN366" s="349"/>
      <c r="BO366" s="349"/>
      <c r="BP366" s="349"/>
      <c r="BQ366" s="349"/>
      <c r="BR366" s="349"/>
      <c r="BS366" s="349"/>
    </row>
    <row r="367" spans="1:71" x14ac:dyDescent="0.3">
      <c r="A367" s="349"/>
      <c r="B367" s="349"/>
      <c r="C367" s="349"/>
      <c r="D367" s="349"/>
      <c r="E367" s="349"/>
      <c r="F367" s="349"/>
      <c r="G367" s="349"/>
      <c r="H367" s="349"/>
      <c r="I367" s="349"/>
      <c r="J367" s="349"/>
      <c r="K367" s="349"/>
      <c r="L367" s="349"/>
      <c r="M367" s="349"/>
      <c r="N367" s="349"/>
      <c r="O367" s="349"/>
      <c r="P367" s="349"/>
      <c r="Q367" s="349"/>
      <c r="R367" s="349"/>
      <c r="S367" s="349"/>
      <c r="T367" s="349"/>
      <c r="U367" s="349"/>
      <c r="V367" s="349"/>
      <c r="W367" s="349"/>
      <c r="X367" s="349"/>
      <c r="Y367" s="349"/>
      <c r="Z367" s="349"/>
      <c r="AA367" s="349"/>
      <c r="AB367" s="349"/>
      <c r="AC367" s="349"/>
      <c r="AD367" s="349"/>
      <c r="AE367" s="349"/>
      <c r="AF367" s="349"/>
      <c r="AG367" s="349"/>
      <c r="AH367" s="349"/>
      <c r="AI367" s="349"/>
      <c r="AJ367" s="349"/>
      <c r="AK367" s="349"/>
      <c r="AL367" s="349"/>
      <c r="AM367" s="349"/>
      <c r="AN367" s="349"/>
      <c r="AO367" s="349"/>
      <c r="AP367" s="349"/>
      <c r="AQ367" s="349"/>
      <c r="AR367" s="349"/>
      <c r="AS367" s="349"/>
      <c r="AT367" s="349"/>
      <c r="AU367" s="349"/>
      <c r="AV367" s="349"/>
      <c r="AW367" s="349"/>
      <c r="AX367" s="349"/>
      <c r="AY367" s="349"/>
      <c r="AZ367" s="349"/>
      <c r="BA367" s="349"/>
      <c r="BB367" s="349"/>
      <c r="BC367" s="349"/>
      <c r="BD367" s="349"/>
      <c r="BE367" s="349"/>
      <c r="BF367" s="349"/>
      <c r="BG367" s="349"/>
      <c r="BH367" s="349"/>
      <c r="BI367" s="349"/>
      <c r="BJ367" s="349"/>
      <c r="BK367" s="349"/>
      <c r="BL367" s="349"/>
      <c r="BM367" s="349"/>
      <c r="BN367" s="349"/>
      <c r="BO367" s="349"/>
      <c r="BP367" s="349"/>
      <c r="BQ367" s="349"/>
      <c r="BR367" s="349"/>
      <c r="BS367" s="349"/>
    </row>
    <row r="368" spans="1:71" x14ac:dyDescent="0.3">
      <c r="A368" s="349"/>
      <c r="B368" s="349"/>
      <c r="C368" s="349"/>
      <c r="D368" s="349"/>
      <c r="E368" s="349"/>
      <c r="F368" s="349"/>
      <c r="G368" s="349"/>
      <c r="H368" s="349"/>
      <c r="I368" s="349"/>
      <c r="J368" s="349"/>
      <c r="K368" s="349"/>
      <c r="L368" s="349"/>
      <c r="M368" s="349"/>
      <c r="N368" s="349"/>
      <c r="O368" s="349"/>
      <c r="P368" s="349"/>
      <c r="Q368" s="349"/>
      <c r="R368" s="349"/>
      <c r="S368" s="349"/>
      <c r="T368" s="349"/>
      <c r="U368" s="349"/>
      <c r="V368" s="349"/>
      <c r="W368" s="349"/>
      <c r="X368" s="349"/>
      <c r="Y368" s="349"/>
      <c r="Z368" s="349"/>
      <c r="AA368" s="349"/>
      <c r="AB368" s="349"/>
      <c r="AC368" s="349"/>
      <c r="AD368" s="349"/>
      <c r="AE368" s="349"/>
      <c r="AF368" s="349"/>
      <c r="AG368" s="349"/>
      <c r="AH368" s="349"/>
      <c r="AI368" s="349"/>
      <c r="AJ368" s="349"/>
      <c r="AK368" s="349"/>
      <c r="AL368" s="349"/>
      <c r="AM368" s="349"/>
      <c r="AN368" s="349"/>
      <c r="AO368" s="349"/>
      <c r="AP368" s="349"/>
      <c r="AQ368" s="349"/>
      <c r="AR368" s="349"/>
      <c r="AS368" s="349"/>
      <c r="AT368" s="349"/>
      <c r="AU368" s="349"/>
      <c r="AV368" s="349"/>
      <c r="AW368" s="349"/>
      <c r="AX368" s="349"/>
      <c r="AY368" s="349"/>
      <c r="AZ368" s="349"/>
      <c r="BA368" s="349"/>
      <c r="BB368" s="349"/>
      <c r="BC368" s="349"/>
      <c r="BD368" s="349"/>
      <c r="BE368" s="349"/>
      <c r="BF368" s="349"/>
      <c r="BG368" s="349"/>
      <c r="BH368" s="349"/>
      <c r="BI368" s="349"/>
      <c r="BJ368" s="349"/>
      <c r="BK368" s="349"/>
      <c r="BL368" s="349"/>
      <c r="BM368" s="349"/>
      <c r="BN368" s="349"/>
      <c r="BO368" s="349"/>
      <c r="BP368" s="349"/>
      <c r="BQ368" s="349"/>
      <c r="BR368" s="349"/>
      <c r="BS368" s="349"/>
    </row>
    <row r="369" spans="1:71" x14ac:dyDescent="0.3">
      <c r="A369" s="349"/>
      <c r="B369" s="349"/>
      <c r="C369" s="349"/>
      <c r="D369" s="349"/>
      <c r="E369" s="349"/>
      <c r="F369" s="349"/>
      <c r="G369" s="349"/>
      <c r="H369" s="349"/>
      <c r="I369" s="349"/>
      <c r="J369" s="349"/>
      <c r="K369" s="349"/>
      <c r="L369" s="349"/>
      <c r="M369" s="349"/>
      <c r="N369" s="349"/>
      <c r="O369" s="349"/>
      <c r="P369" s="349"/>
      <c r="Q369" s="349"/>
      <c r="R369" s="349"/>
      <c r="S369" s="349"/>
      <c r="T369" s="349"/>
      <c r="U369" s="349"/>
      <c r="V369" s="349"/>
      <c r="W369" s="349"/>
      <c r="X369" s="349"/>
      <c r="Y369" s="349"/>
      <c r="Z369" s="349"/>
      <c r="AA369" s="349"/>
      <c r="AB369" s="349"/>
      <c r="AC369" s="349"/>
      <c r="AD369" s="349"/>
      <c r="AE369" s="349"/>
      <c r="AF369" s="349"/>
      <c r="AG369" s="349"/>
      <c r="AH369" s="349"/>
      <c r="AI369" s="349"/>
      <c r="AJ369" s="349"/>
      <c r="AK369" s="349"/>
      <c r="AL369" s="349"/>
      <c r="AM369" s="349"/>
      <c r="AN369" s="349"/>
      <c r="AO369" s="349"/>
      <c r="AP369" s="349"/>
      <c r="AQ369" s="349"/>
      <c r="AR369" s="349"/>
      <c r="AS369" s="349"/>
      <c r="AT369" s="349"/>
      <c r="AU369" s="349"/>
      <c r="AV369" s="349"/>
      <c r="AW369" s="349"/>
      <c r="AX369" s="349"/>
      <c r="AY369" s="349"/>
      <c r="AZ369" s="349"/>
      <c r="BA369" s="349"/>
      <c r="BB369" s="349"/>
      <c r="BC369" s="349"/>
      <c r="BD369" s="349"/>
      <c r="BE369" s="349"/>
      <c r="BF369" s="349"/>
      <c r="BG369" s="349"/>
      <c r="BH369" s="349"/>
      <c r="BI369" s="349"/>
      <c r="BJ369" s="349"/>
      <c r="BK369" s="349"/>
      <c r="BL369" s="349"/>
      <c r="BM369" s="349"/>
      <c r="BN369" s="349"/>
      <c r="BO369" s="349"/>
      <c r="BP369" s="349"/>
      <c r="BQ369" s="349"/>
      <c r="BR369" s="349"/>
      <c r="BS369" s="349"/>
    </row>
    <row r="370" spans="1:71" x14ac:dyDescent="0.3">
      <c r="A370" s="349"/>
      <c r="B370" s="349"/>
      <c r="C370" s="349"/>
      <c r="D370" s="349"/>
      <c r="E370" s="349"/>
      <c r="F370" s="349"/>
      <c r="G370" s="349"/>
      <c r="H370" s="349"/>
      <c r="I370" s="349"/>
      <c r="J370" s="349"/>
      <c r="K370" s="349"/>
      <c r="L370" s="349"/>
      <c r="M370" s="349"/>
      <c r="N370" s="349"/>
      <c r="O370" s="349"/>
      <c r="P370" s="349"/>
      <c r="Q370" s="349"/>
      <c r="R370" s="349"/>
      <c r="S370" s="349"/>
      <c r="T370" s="349"/>
      <c r="U370" s="349"/>
      <c r="V370" s="349"/>
      <c r="W370" s="349"/>
      <c r="X370" s="349"/>
      <c r="Y370" s="349"/>
      <c r="Z370" s="349"/>
      <c r="AA370" s="349"/>
      <c r="AB370" s="349"/>
      <c r="AC370" s="349"/>
      <c r="AD370" s="349"/>
      <c r="AE370" s="349"/>
      <c r="AF370" s="349"/>
      <c r="AG370" s="349"/>
      <c r="AH370" s="349"/>
      <c r="AI370" s="349"/>
      <c r="AJ370" s="349"/>
      <c r="AK370" s="349"/>
      <c r="AL370" s="349"/>
      <c r="AM370" s="349"/>
      <c r="AN370" s="349"/>
      <c r="AO370" s="349"/>
      <c r="AP370" s="349"/>
      <c r="AQ370" s="349"/>
      <c r="AR370" s="349"/>
      <c r="AS370" s="349"/>
      <c r="AT370" s="349"/>
      <c r="AU370" s="349"/>
      <c r="AV370" s="349"/>
      <c r="AW370" s="349"/>
      <c r="AX370" s="349"/>
      <c r="AY370" s="349"/>
      <c r="AZ370" s="349"/>
      <c r="BA370" s="349"/>
      <c r="BB370" s="349"/>
      <c r="BC370" s="349"/>
      <c r="BD370" s="349"/>
      <c r="BE370" s="349"/>
      <c r="BF370" s="349"/>
      <c r="BG370" s="349"/>
      <c r="BH370" s="349"/>
      <c r="BI370" s="349"/>
      <c r="BJ370" s="349"/>
      <c r="BK370" s="349"/>
      <c r="BL370" s="349"/>
      <c r="BM370" s="349"/>
      <c r="BN370" s="349"/>
      <c r="BO370" s="349"/>
      <c r="BP370" s="349"/>
      <c r="BQ370" s="349"/>
      <c r="BR370" s="349"/>
      <c r="BS370" s="349"/>
    </row>
    <row r="371" spans="1:71" x14ac:dyDescent="0.3">
      <c r="A371" s="349"/>
      <c r="B371" s="349"/>
      <c r="C371" s="349"/>
      <c r="D371" s="349"/>
      <c r="E371" s="349"/>
      <c r="F371" s="349"/>
      <c r="G371" s="349"/>
      <c r="H371" s="349"/>
      <c r="I371" s="349"/>
      <c r="J371" s="349"/>
      <c r="K371" s="349"/>
      <c r="L371" s="349"/>
      <c r="M371" s="349"/>
      <c r="N371" s="349"/>
      <c r="O371" s="349"/>
      <c r="P371" s="349"/>
      <c r="Q371" s="349"/>
      <c r="R371" s="349"/>
      <c r="S371" s="349"/>
      <c r="T371" s="349"/>
      <c r="U371" s="349"/>
      <c r="V371" s="349"/>
      <c r="W371" s="349"/>
      <c r="X371" s="349"/>
      <c r="Y371" s="349"/>
      <c r="Z371" s="349"/>
      <c r="AA371" s="349"/>
      <c r="AB371" s="349"/>
      <c r="AC371" s="349"/>
      <c r="AD371" s="349"/>
      <c r="AE371" s="349"/>
      <c r="AF371" s="349"/>
      <c r="AG371" s="349"/>
      <c r="AH371" s="349"/>
      <c r="AI371" s="349"/>
      <c r="AJ371" s="349"/>
      <c r="AK371" s="349"/>
      <c r="AL371" s="349"/>
      <c r="AM371" s="349"/>
      <c r="AN371" s="349"/>
      <c r="AO371" s="349"/>
      <c r="AP371" s="349"/>
      <c r="AQ371" s="349"/>
      <c r="AR371" s="349"/>
      <c r="AS371" s="349"/>
      <c r="AT371" s="349"/>
      <c r="AU371" s="349"/>
      <c r="AV371" s="349"/>
      <c r="AW371" s="349"/>
      <c r="AX371" s="349"/>
      <c r="AY371" s="349"/>
      <c r="AZ371" s="349"/>
      <c r="BA371" s="349"/>
      <c r="BB371" s="349"/>
      <c r="BC371" s="349"/>
      <c r="BD371" s="349"/>
      <c r="BE371" s="349"/>
      <c r="BF371" s="349"/>
      <c r="BG371" s="349"/>
      <c r="BH371" s="349"/>
      <c r="BI371" s="349"/>
      <c r="BJ371" s="349"/>
      <c r="BK371" s="349"/>
      <c r="BL371" s="349"/>
      <c r="BM371" s="349"/>
      <c r="BN371" s="349"/>
      <c r="BO371" s="349"/>
      <c r="BP371" s="349"/>
      <c r="BQ371" s="349"/>
      <c r="BR371" s="349"/>
      <c r="BS371" s="349"/>
    </row>
    <row r="372" spans="1:71" x14ac:dyDescent="0.3">
      <c r="A372" s="349"/>
      <c r="B372" s="349"/>
      <c r="C372" s="349"/>
      <c r="D372" s="349"/>
      <c r="E372" s="349"/>
      <c r="F372" s="349"/>
      <c r="G372" s="349"/>
      <c r="H372" s="349"/>
      <c r="I372" s="349"/>
      <c r="J372" s="349"/>
      <c r="K372" s="349"/>
      <c r="L372" s="349"/>
      <c r="M372" s="349"/>
      <c r="N372" s="349"/>
      <c r="O372" s="349"/>
      <c r="P372" s="349"/>
      <c r="Q372" s="349"/>
      <c r="R372" s="349"/>
      <c r="S372" s="349"/>
      <c r="T372" s="349"/>
      <c r="U372" s="349"/>
      <c r="V372" s="349"/>
      <c r="W372" s="349"/>
      <c r="X372" s="349"/>
      <c r="Y372" s="349"/>
      <c r="Z372" s="349"/>
      <c r="AA372" s="349"/>
      <c r="AB372" s="349"/>
      <c r="AC372" s="349"/>
      <c r="AD372" s="349"/>
      <c r="AE372" s="349"/>
      <c r="AF372" s="349"/>
      <c r="AG372" s="349"/>
      <c r="AH372" s="349"/>
      <c r="AI372" s="349"/>
      <c r="AJ372" s="349"/>
      <c r="AK372" s="349"/>
      <c r="AL372" s="349"/>
      <c r="AM372" s="349"/>
      <c r="AN372" s="349"/>
      <c r="AO372" s="349"/>
      <c r="AP372" s="349"/>
      <c r="AQ372" s="349"/>
      <c r="AR372" s="349"/>
      <c r="AS372" s="349"/>
      <c r="AT372" s="349"/>
      <c r="AU372" s="349"/>
      <c r="AV372" s="349"/>
      <c r="AW372" s="349"/>
      <c r="AX372" s="349"/>
      <c r="AY372" s="349"/>
      <c r="AZ372" s="349"/>
      <c r="BA372" s="349"/>
      <c r="BB372" s="349"/>
      <c r="BC372" s="349"/>
      <c r="BD372" s="349"/>
      <c r="BE372" s="349"/>
      <c r="BF372" s="349"/>
      <c r="BG372" s="349"/>
      <c r="BH372" s="349"/>
      <c r="BI372" s="349"/>
      <c r="BJ372" s="349"/>
      <c r="BK372" s="349"/>
      <c r="BL372" s="349"/>
      <c r="BM372" s="349"/>
      <c r="BN372" s="349"/>
      <c r="BO372" s="349"/>
      <c r="BP372" s="349"/>
      <c r="BQ372" s="349"/>
      <c r="BR372" s="349"/>
      <c r="BS372" s="349"/>
    </row>
    <row r="373" spans="1:71" x14ac:dyDescent="0.3">
      <c r="A373" s="349"/>
      <c r="B373" s="349"/>
      <c r="C373" s="349"/>
      <c r="D373" s="349"/>
      <c r="E373" s="349"/>
      <c r="F373" s="349"/>
      <c r="G373" s="349"/>
      <c r="H373" s="349"/>
      <c r="I373" s="349"/>
      <c r="J373" s="349"/>
      <c r="K373" s="349"/>
      <c r="L373" s="349"/>
      <c r="M373" s="349"/>
      <c r="N373" s="349"/>
      <c r="O373" s="349"/>
      <c r="P373" s="349"/>
      <c r="Q373" s="349"/>
      <c r="R373" s="349"/>
      <c r="S373" s="349"/>
      <c r="T373" s="349"/>
      <c r="U373" s="349"/>
      <c r="V373" s="349"/>
      <c r="W373" s="349"/>
      <c r="X373" s="349"/>
      <c r="Y373" s="349"/>
      <c r="Z373" s="349"/>
      <c r="AA373" s="349"/>
      <c r="AB373" s="349"/>
      <c r="AC373" s="349"/>
      <c r="AD373" s="349"/>
      <c r="AE373" s="349"/>
      <c r="AF373" s="349"/>
      <c r="AG373" s="349"/>
      <c r="AH373" s="349"/>
      <c r="AI373" s="349"/>
      <c r="AJ373" s="349"/>
      <c r="AK373" s="349"/>
      <c r="AL373" s="349"/>
      <c r="AM373" s="349"/>
      <c r="AN373" s="349"/>
      <c r="AO373" s="349"/>
      <c r="AP373" s="349"/>
      <c r="AQ373" s="349"/>
      <c r="AR373" s="349"/>
      <c r="AS373" s="349"/>
      <c r="AT373" s="349"/>
      <c r="AU373" s="349"/>
      <c r="AV373" s="349"/>
      <c r="AW373" s="349"/>
      <c r="AX373" s="349"/>
      <c r="AY373" s="349"/>
      <c r="AZ373" s="349"/>
      <c r="BA373" s="349"/>
      <c r="BB373" s="349"/>
      <c r="BC373" s="349"/>
      <c r="BD373" s="349"/>
      <c r="BE373" s="349"/>
      <c r="BF373" s="349"/>
      <c r="BG373" s="349"/>
      <c r="BH373" s="349"/>
      <c r="BI373" s="349"/>
      <c r="BJ373" s="349"/>
      <c r="BK373" s="349"/>
      <c r="BL373" s="349"/>
      <c r="BM373" s="349"/>
      <c r="BN373" s="349"/>
      <c r="BO373" s="349"/>
      <c r="BP373" s="349"/>
      <c r="BQ373" s="349"/>
      <c r="BR373" s="349"/>
      <c r="BS373" s="349"/>
    </row>
    <row r="374" spans="1:71" x14ac:dyDescent="0.3">
      <c r="A374" s="349"/>
      <c r="B374" s="349"/>
      <c r="C374" s="349"/>
      <c r="D374" s="349"/>
      <c r="E374" s="349"/>
      <c r="F374" s="349"/>
      <c r="G374" s="349"/>
      <c r="H374" s="349"/>
      <c r="I374" s="349"/>
      <c r="J374" s="349"/>
      <c r="K374" s="349"/>
      <c r="L374" s="349"/>
      <c r="M374" s="349"/>
      <c r="N374" s="349"/>
      <c r="O374" s="349"/>
      <c r="P374" s="349"/>
      <c r="Q374" s="349"/>
      <c r="R374" s="349"/>
      <c r="S374" s="349"/>
      <c r="T374" s="349"/>
      <c r="U374" s="349"/>
      <c r="V374" s="349"/>
      <c r="W374" s="349"/>
      <c r="X374" s="349"/>
      <c r="Y374" s="349"/>
      <c r="Z374" s="349"/>
      <c r="AA374" s="349"/>
      <c r="AB374" s="349"/>
      <c r="AC374" s="349"/>
      <c r="AD374" s="349"/>
      <c r="AE374" s="349"/>
      <c r="AF374" s="349"/>
      <c r="AG374" s="349"/>
      <c r="AH374" s="349"/>
      <c r="AI374" s="349"/>
      <c r="AJ374" s="349"/>
      <c r="AK374" s="349"/>
      <c r="AL374" s="349"/>
      <c r="AM374" s="349"/>
      <c r="AN374" s="349"/>
      <c r="AO374" s="349"/>
      <c r="AP374" s="349"/>
      <c r="AQ374" s="349"/>
      <c r="AR374" s="349"/>
      <c r="AS374" s="349"/>
      <c r="AT374" s="349"/>
      <c r="AU374" s="349"/>
      <c r="AV374" s="349"/>
      <c r="AW374" s="349"/>
      <c r="AX374" s="349"/>
      <c r="AY374" s="349"/>
      <c r="AZ374" s="349"/>
      <c r="BA374" s="349"/>
      <c r="BB374" s="349"/>
      <c r="BC374" s="349"/>
      <c r="BD374" s="349"/>
      <c r="BE374" s="349"/>
      <c r="BF374" s="349"/>
      <c r="BG374" s="349"/>
      <c r="BH374" s="349"/>
      <c r="BI374" s="349"/>
      <c r="BJ374" s="349"/>
      <c r="BK374" s="349"/>
      <c r="BL374" s="349"/>
      <c r="BM374" s="349"/>
      <c r="BN374" s="349"/>
      <c r="BO374" s="349"/>
      <c r="BP374" s="349"/>
      <c r="BQ374" s="349"/>
      <c r="BR374" s="349"/>
      <c r="BS374" s="349"/>
    </row>
    <row r="375" spans="1:71" x14ac:dyDescent="0.3">
      <c r="A375" s="349"/>
      <c r="B375" s="349"/>
      <c r="C375" s="349"/>
      <c r="D375" s="349"/>
      <c r="E375" s="349"/>
      <c r="F375" s="349"/>
      <c r="G375" s="349"/>
      <c r="H375" s="349"/>
      <c r="I375" s="349"/>
      <c r="J375" s="349"/>
      <c r="K375" s="349"/>
      <c r="L375" s="349"/>
      <c r="M375" s="349"/>
      <c r="N375" s="349"/>
      <c r="O375" s="349"/>
      <c r="P375" s="349"/>
      <c r="Q375" s="349"/>
      <c r="R375" s="349"/>
      <c r="S375" s="349"/>
      <c r="T375" s="349"/>
      <c r="U375" s="349"/>
      <c r="V375" s="349"/>
      <c r="W375" s="349"/>
      <c r="X375" s="349"/>
      <c r="Y375" s="349"/>
      <c r="Z375" s="349"/>
      <c r="AA375" s="349"/>
      <c r="AB375" s="349"/>
      <c r="AC375" s="349"/>
      <c r="AD375" s="349"/>
      <c r="AE375" s="349"/>
      <c r="AF375" s="349"/>
      <c r="AG375" s="349"/>
      <c r="AH375" s="349"/>
      <c r="AI375" s="349"/>
      <c r="AJ375" s="349"/>
      <c r="AK375" s="349"/>
      <c r="AL375" s="349"/>
      <c r="AM375" s="349"/>
      <c r="AN375" s="349"/>
      <c r="AO375" s="349"/>
      <c r="AP375" s="349"/>
      <c r="AQ375" s="349"/>
      <c r="AR375" s="349"/>
      <c r="AS375" s="349"/>
      <c r="AT375" s="349"/>
      <c r="AU375" s="349"/>
      <c r="AV375" s="349"/>
      <c r="AW375" s="349"/>
      <c r="AX375" s="349"/>
      <c r="AY375" s="349"/>
      <c r="AZ375" s="349"/>
      <c r="BA375" s="349"/>
      <c r="BB375" s="349"/>
      <c r="BC375" s="349"/>
      <c r="BD375" s="349"/>
      <c r="BE375" s="349"/>
      <c r="BF375" s="349"/>
      <c r="BG375" s="349"/>
      <c r="BH375" s="349"/>
      <c r="BI375" s="349"/>
      <c r="BJ375" s="349"/>
      <c r="BK375" s="349"/>
      <c r="BL375" s="349"/>
      <c r="BM375" s="349"/>
      <c r="BN375" s="349"/>
      <c r="BO375" s="349"/>
      <c r="BP375" s="349"/>
      <c r="BQ375" s="349"/>
      <c r="BR375" s="349"/>
      <c r="BS375" s="349"/>
    </row>
    <row r="376" spans="1:71" x14ac:dyDescent="0.3">
      <c r="A376" s="349"/>
      <c r="B376" s="349"/>
      <c r="C376" s="349"/>
      <c r="D376" s="349"/>
      <c r="E376" s="349"/>
      <c r="F376" s="349"/>
      <c r="G376" s="349"/>
      <c r="H376" s="349"/>
      <c r="I376" s="349"/>
      <c r="J376" s="349"/>
      <c r="K376" s="349"/>
      <c r="L376" s="349"/>
      <c r="M376" s="349"/>
      <c r="N376" s="349"/>
      <c r="O376" s="349"/>
      <c r="P376" s="349"/>
      <c r="Q376" s="349"/>
      <c r="R376" s="349"/>
      <c r="S376" s="349"/>
      <c r="T376" s="349"/>
      <c r="U376" s="349"/>
      <c r="V376" s="349"/>
      <c r="W376" s="349"/>
      <c r="X376" s="349"/>
      <c r="Y376" s="349"/>
      <c r="Z376" s="349"/>
      <c r="AA376" s="349"/>
      <c r="AB376" s="349"/>
      <c r="AC376" s="349"/>
      <c r="AD376" s="349"/>
      <c r="AE376" s="349"/>
      <c r="AF376" s="349"/>
      <c r="AG376" s="349"/>
      <c r="AH376" s="349"/>
      <c r="AI376" s="349"/>
      <c r="AJ376" s="349"/>
      <c r="AK376" s="349"/>
      <c r="AL376" s="349"/>
      <c r="AM376" s="349"/>
      <c r="AN376" s="349"/>
      <c r="AO376" s="349"/>
      <c r="AP376" s="349"/>
      <c r="AQ376" s="349"/>
      <c r="AR376" s="349"/>
      <c r="AS376" s="349"/>
      <c r="AT376" s="349"/>
      <c r="AU376" s="349"/>
      <c r="AV376" s="349"/>
      <c r="AW376" s="349"/>
      <c r="AX376" s="349"/>
      <c r="AY376" s="349"/>
      <c r="AZ376" s="349"/>
      <c r="BA376" s="349"/>
      <c r="BB376" s="349"/>
      <c r="BC376" s="349"/>
      <c r="BD376" s="349"/>
      <c r="BE376" s="349"/>
      <c r="BF376" s="349"/>
      <c r="BG376" s="349"/>
      <c r="BH376" s="349"/>
      <c r="BI376" s="349"/>
      <c r="BJ376" s="349"/>
      <c r="BK376" s="349"/>
      <c r="BL376" s="349"/>
      <c r="BM376" s="349"/>
      <c r="BN376" s="349"/>
      <c r="BO376" s="349"/>
      <c r="BP376" s="349"/>
      <c r="BQ376" s="349"/>
      <c r="BR376" s="349"/>
      <c r="BS376" s="349"/>
    </row>
    <row r="377" spans="1:71" x14ac:dyDescent="0.3">
      <c r="A377" s="349"/>
      <c r="B377" s="349"/>
      <c r="C377" s="349"/>
      <c r="D377" s="349"/>
      <c r="E377" s="349"/>
      <c r="F377" s="349"/>
      <c r="G377" s="349"/>
      <c r="H377" s="349"/>
      <c r="I377" s="349"/>
      <c r="J377" s="349"/>
      <c r="K377" s="349"/>
      <c r="L377" s="349"/>
      <c r="M377" s="349"/>
      <c r="N377" s="349"/>
      <c r="O377" s="349"/>
      <c r="P377" s="349"/>
      <c r="Q377" s="349"/>
      <c r="R377" s="349"/>
      <c r="S377" s="349"/>
      <c r="T377" s="349"/>
      <c r="U377" s="349"/>
      <c r="V377" s="349"/>
      <c r="W377" s="349"/>
      <c r="X377" s="349"/>
      <c r="Y377" s="349"/>
      <c r="Z377" s="349"/>
      <c r="AA377" s="349"/>
      <c r="AB377" s="349"/>
      <c r="AC377" s="349"/>
      <c r="AD377" s="349"/>
      <c r="AE377" s="349"/>
      <c r="AF377" s="349"/>
      <c r="AG377" s="349"/>
      <c r="AH377" s="349"/>
      <c r="AI377" s="349"/>
      <c r="AJ377" s="349"/>
      <c r="AK377" s="349"/>
      <c r="AL377" s="349"/>
      <c r="AM377" s="349"/>
      <c r="AN377" s="349"/>
      <c r="AO377" s="349"/>
      <c r="AP377" s="349"/>
      <c r="AQ377" s="349"/>
      <c r="AR377" s="349"/>
      <c r="AS377" s="349"/>
      <c r="AT377" s="349"/>
      <c r="AU377" s="349"/>
      <c r="AV377" s="349"/>
      <c r="AW377" s="349"/>
      <c r="AX377" s="349"/>
      <c r="AY377" s="349"/>
      <c r="AZ377" s="349"/>
      <c r="BA377" s="349"/>
      <c r="BB377" s="349"/>
      <c r="BC377" s="349"/>
      <c r="BD377" s="349"/>
      <c r="BE377" s="349"/>
      <c r="BF377" s="349"/>
      <c r="BG377" s="349"/>
      <c r="BH377" s="349"/>
      <c r="BI377" s="349"/>
      <c r="BJ377" s="349"/>
      <c r="BK377" s="349"/>
      <c r="BL377" s="349"/>
      <c r="BM377" s="349"/>
      <c r="BN377" s="349"/>
      <c r="BO377" s="349"/>
      <c r="BP377" s="349"/>
      <c r="BQ377" s="349"/>
      <c r="BR377" s="349"/>
      <c r="BS377" s="349"/>
    </row>
    <row r="378" spans="1:71" x14ac:dyDescent="0.3">
      <c r="A378" s="349"/>
      <c r="B378" s="349"/>
      <c r="C378" s="349"/>
      <c r="D378" s="349"/>
      <c r="E378" s="349"/>
      <c r="F378" s="349"/>
      <c r="G378" s="349"/>
      <c r="H378" s="349"/>
      <c r="I378" s="349"/>
      <c r="J378" s="349"/>
      <c r="K378" s="349"/>
      <c r="L378" s="349"/>
      <c r="M378" s="349"/>
      <c r="N378" s="349"/>
      <c r="O378" s="349"/>
      <c r="P378" s="349"/>
      <c r="Q378" s="349"/>
      <c r="R378" s="349"/>
      <c r="S378" s="349"/>
      <c r="T378" s="349"/>
      <c r="U378" s="349"/>
      <c r="V378" s="349"/>
      <c r="W378" s="349"/>
      <c r="X378" s="349"/>
      <c r="Y378" s="349"/>
      <c r="Z378" s="349"/>
      <c r="AA378" s="349"/>
      <c r="AB378" s="349"/>
      <c r="AC378" s="349"/>
      <c r="AD378" s="349"/>
      <c r="AE378" s="349"/>
      <c r="AF378" s="349"/>
      <c r="AG378" s="349"/>
      <c r="AH378" s="349"/>
      <c r="AI378" s="349"/>
      <c r="AJ378" s="349"/>
      <c r="AK378" s="349"/>
      <c r="AL378" s="349"/>
      <c r="AM378" s="349"/>
      <c r="AN378" s="349"/>
      <c r="AO378" s="349"/>
      <c r="AP378" s="349"/>
      <c r="AQ378" s="349"/>
      <c r="AR378" s="349"/>
      <c r="AS378" s="349"/>
      <c r="AT378" s="349"/>
      <c r="AU378" s="349"/>
      <c r="AV378" s="349"/>
      <c r="AW378" s="349"/>
      <c r="AX378" s="349"/>
      <c r="AY378" s="349"/>
      <c r="AZ378" s="349"/>
      <c r="BA378" s="349"/>
      <c r="BB378" s="349"/>
      <c r="BC378" s="349"/>
      <c r="BD378" s="349"/>
      <c r="BE378" s="349"/>
      <c r="BF378" s="349"/>
      <c r="BG378" s="349"/>
      <c r="BH378" s="349"/>
      <c r="BI378" s="349"/>
      <c r="BJ378" s="349"/>
      <c r="BK378" s="349"/>
      <c r="BL378" s="349"/>
      <c r="BM378" s="349"/>
      <c r="BN378" s="349"/>
      <c r="BO378" s="349"/>
      <c r="BP378" s="349"/>
      <c r="BQ378" s="349"/>
      <c r="BR378" s="349"/>
      <c r="BS378" s="349"/>
    </row>
    <row r="379" spans="1:71" x14ac:dyDescent="0.3">
      <c r="A379" s="349"/>
      <c r="B379" s="349"/>
      <c r="C379" s="349"/>
      <c r="D379" s="349"/>
      <c r="E379" s="349"/>
      <c r="F379" s="349"/>
      <c r="G379" s="349"/>
      <c r="H379" s="349"/>
      <c r="I379" s="349"/>
      <c r="J379" s="349"/>
      <c r="K379" s="349"/>
      <c r="L379" s="349"/>
      <c r="M379" s="349"/>
      <c r="N379" s="349"/>
      <c r="O379" s="349"/>
      <c r="P379" s="349"/>
      <c r="Q379" s="349"/>
      <c r="R379" s="349"/>
      <c r="S379" s="349"/>
      <c r="T379" s="349"/>
      <c r="U379" s="349"/>
      <c r="V379" s="349"/>
      <c r="W379" s="349"/>
      <c r="X379" s="349"/>
      <c r="Y379" s="349"/>
      <c r="Z379" s="349"/>
      <c r="AA379" s="349"/>
      <c r="AB379" s="349"/>
      <c r="AC379" s="349"/>
      <c r="AD379" s="349"/>
      <c r="AE379" s="349"/>
      <c r="AF379" s="349"/>
      <c r="AG379" s="349"/>
      <c r="AH379" s="349"/>
      <c r="AI379" s="349"/>
      <c r="AJ379" s="349"/>
      <c r="AK379" s="349"/>
      <c r="AL379" s="349"/>
      <c r="AM379" s="349"/>
      <c r="AN379" s="349"/>
      <c r="AO379" s="349"/>
      <c r="AP379" s="349"/>
      <c r="AQ379" s="349"/>
      <c r="AR379" s="349"/>
      <c r="AS379" s="349"/>
      <c r="AT379" s="349"/>
      <c r="AU379" s="349"/>
      <c r="AV379" s="349"/>
      <c r="AW379" s="349"/>
      <c r="AX379" s="349"/>
      <c r="AY379" s="349"/>
      <c r="AZ379" s="349"/>
      <c r="BA379" s="349"/>
      <c r="BB379" s="349"/>
      <c r="BC379" s="349"/>
      <c r="BD379" s="349"/>
      <c r="BE379" s="349"/>
      <c r="BF379" s="349"/>
      <c r="BG379" s="349"/>
      <c r="BH379" s="349"/>
      <c r="BI379" s="349"/>
      <c r="BJ379" s="349"/>
      <c r="BK379" s="349"/>
      <c r="BL379" s="349"/>
      <c r="BM379" s="349"/>
      <c r="BN379" s="349"/>
      <c r="BO379" s="349"/>
      <c r="BP379" s="349"/>
      <c r="BQ379" s="349"/>
      <c r="BR379" s="349"/>
      <c r="BS379" s="349"/>
    </row>
    <row r="380" spans="1:71" x14ac:dyDescent="0.3">
      <c r="A380" s="349"/>
      <c r="B380" s="349"/>
      <c r="C380" s="349"/>
      <c r="D380" s="349"/>
      <c r="E380" s="349"/>
      <c r="F380" s="349"/>
      <c r="G380" s="349"/>
      <c r="H380" s="349"/>
      <c r="I380" s="349"/>
      <c r="J380" s="349"/>
      <c r="K380" s="349"/>
      <c r="L380" s="349"/>
      <c r="M380" s="349"/>
      <c r="N380" s="349"/>
      <c r="O380" s="349"/>
      <c r="P380" s="349"/>
      <c r="Q380" s="349"/>
      <c r="R380" s="349"/>
      <c r="S380" s="349"/>
      <c r="T380" s="349"/>
      <c r="U380" s="349"/>
      <c r="V380" s="349"/>
      <c r="W380" s="349"/>
      <c r="X380" s="349"/>
      <c r="Y380" s="349"/>
      <c r="Z380" s="349"/>
      <c r="AA380" s="349"/>
      <c r="AB380" s="349"/>
      <c r="AC380" s="349"/>
      <c r="AD380" s="349"/>
      <c r="AE380" s="349"/>
      <c r="AF380" s="349"/>
      <c r="AG380" s="349"/>
      <c r="AH380" s="349"/>
      <c r="AI380" s="349"/>
      <c r="AJ380" s="349"/>
      <c r="AK380" s="349"/>
      <c r="AL380" s="349"/>
      <c r="AM380" s="349"/>
      <c r="AN380" s="349"/>
      <c r="AO380" s="349"/>
      <c r="AP380" s="349"/>
      <c r="AQ380" s="349"/>
      <c r="AR380" s="349"/>
      <c r="AS380" s="349"/>
      <c r="AT380" s="349"/>
      <c r="AU380" s="349"/>
      <c r="AV380" s="349"/>
      <c r="AW380" s="349"/>
      <c r="AX380" s="349"/>
      <c r="AY380" s="349"/>
      <c r="AZ380" s="349"/>
      <c r="BA380" s="349"/>
      <c r="BB380" s="349"/>
      <c r="BC380" s="349"/>
      <c r="BD380" s="349"/>
      <c r="BE380" s="349"/>
      <c r="BF380" s="349"/>
      <c r="BG380" s="349"/>
      <c r="BH380" s="349"/>
      <c r="BI380" s="349"/>
      <c r="BJ380" s="349"/>
      <c r="BK380" s="349"/>
      <c r="BL380" s="349"/>
      <c r="BM380" s="349"/>
      <c r="BN380" s="349"/>
      <c r="BO380" s="349"/>
      <c r="BP380" s="349"/>
      <c r="BQ380" s="349"/>
      <c r="BR380" s="349"/>
      <c r="BS380" s="349"/>
    </row>
    <row r="381" spans="1:71" x14ac:dyDescent="0.3">
      <c r="A381" s="349"/>
      <c r="B381" s="349"/>
      <c r="C381" s="349"/>
      <c r="D381" s="349"/>
      <c r="E381" s="349"/>
      <c r="F381" s="349"/>
      <c r="G381" s="349"/>
      <c r="H381" s="349"/>
      <c r="I381" s="349"/>
      <c r="J381" s="349"/>
      <c r="K381" s="349"/>
      <c r="L381" s="349"/>
      <c r="M381" s="349"/>
      <c r="N381" s="349"/>
      <c r="O381" s="349"/>
      <c r="P381" s="349"/>
      <c r="Q381" s="349"/>
      <c r="R381" s="349"/>
      <c r="S381" s="349"/>
      <c r="T381" s="349"/>
      <c r="U381" s="349"/>
      <c r="V381" s="349"/>
      <c r="W381" s="349"/>
      <c r="X381" s="349"/>
      <c r="Y381" s="349"/>
      <c r="Z381" s="349"/>
      <c r="AA381" s="349"/>
      <c r="AB381" s="349"/>
      <c r="AC381" s="349"/>
      <c r="AD381" s="349"/>
      <c r="AE381" s="349"/>
      <c r="AF381" s="349"/>
      <c r="AG381" s="349"/>
      <c r="AH381" s="349"/>
      <c r="AI381" s="349"/>
      <c r="AJ381" s="349"/>
      <c r="AK381" s="349"/>
      <c r="AL381" s="349"/>
      <c r="AM381" s="349"/>
      <c r="AN381" s="349"/>
      <c r="AO381" s="349"/>
      <c r="AP381" s="349"/>
      <c r="AQ381" s="349"/>
      <c r="AR381" s="349"/>
      <c r="AS381" s="349"/>
      <c r="AT381" s="349"/>
      <c r="AU381" s="349"/>
      <c r="AV381" s="349"/>
      <c r="AW381" s="349"/>
      <c r="AX381" s="349"/>
      <c r="AY381" s="349"/>
      <c r="AZ381" s="349"/>
      <c r="BA381" s="349"/>
      <c r="BB381" s="349"/>
      <c r="BC381" s="349"/>
      <c r="BD381" s="349"/>
      <c r="BE381" s="349"/>
      <c r="BF381" s="349"/>
      <c r="BG381" s="349"/>
      <c r="BH381" s="349"/>
      <c r="BI381" s="349"/>
      <c r="BJ381" s="349"/>
      <c r="BK381" s="349"/>
      <c r="BL381" s="349"/>
      <c r="BM381" s="349"/>
      <c r="BN381" s="349"/>
      <c r="BO381" s="349"/>
      <c r="BP381" s="349"/>
      <c r="BQ381" s="349"/>
      <c r="BR381" s="349"/>
      <c r="BS381" s="349"/>
    </row>
    <row r="382" spans="1:71" x14ac:dyDescent="0.3">
      <c r="A382" s="349"/>
      <c r="B382" s="349"/>
      <c r="C382" s="349"/>
      <c r="D382" s="349"/>
      <c r="E382" s="349"/>
      <c r="F382" s="349"/>
      <c r="G382" s="349"/>
      <c r="H382" s="349"/>
      <c r="I382" s="349"/>
      <c r="J382" s="349"/>
      <c r="K382" s="349"/>
      <c r="L382" s="349"/>
      <c r="M382" s="349"/>
      <c r="N382" s="349"/>
      <c r="O382" s="349"/>
      <c r="P382" s="349"/>
      <c r="Q382" s="349"/>
      <c r="R382" s="349"/>
      <c r="S382" s="349"/>
      <c r="T382" s="349"/>
      <c r="U382" s="349"/>
      <c r="V382" s="349"/>
      <c r="W382" s="349"/>
      <c r="X382" s="349"/>
      <c r="Y382" s="349"/>
      <c r="Z382" s="349"/>
      <c r="AA382" s="349"/>
      <c r="AB382" s="349"/>
      <c r="AC382" s="349"/>
      <c r="AD382" s="349"/>
      <c r="AE382" s="349"/>
      <c r="AF382" s="349"/>
      <c r="AG382" s="349"/>
      <c r="AH382" s="349"/>
      <c r="AI382" s="349"/>
      <c r="AJ382" s="349"/>
      <c r="AK382" s="349"/>
      <c r="AL382" s="349"/>
      <c r="AM382" s="349"/>
      <c r="AN382" s="349"/>
      <c r="AO382" s="349"/>
      <c r="AP382" s="349"/>
      <c r="AQ382" s="349"/>
      <c r="AR382" s="349"/>
      <c r="AS382" s="349"/>
      <c r="AT382" s="349"/>
      <c r="AU382" s="349"/>
      <c r="AV382" s="349"/>
      <c r="AW382" s="349"/>
      <c r="AX382" s="349"/>
      <c r="AY382" s="349"/>
      <c r="AZ382" s="349"/>
      <c r="BA382" s="349"/>
      <c r="BB382" s="349"/>
      <c r="BC382" s="349"/>
      <c r="BD382" s="349"/>
      <c r="BE382" s="349"/>
      <c r="BF382" s="349"/>
      <c r="BG382" s="349"/>
      <c r="BH382" s="349"/>
      <c r="BI382" s="349"/>
      <c r="BJ382" s="349"/>
      <c r="BK382" s="349"/>
      <c r="BL382" s="349"/>
      <c r="BM382" s="349"/>
      <c r="BN382" s="349"/>
      <c r="BO382" s="349"/>
      <c r="BP382" s="349"/>
      <c r="BQ382" s="349"/>
      <c r="BR382" s="349"/>
      <c r="BS382" s="349"/>
    </row>
    <row r="383" spans="1:71" x14ac:dyDescent="0.3">
      <c r="A383" s="349"/>
      <c r="B383" s="349"/>
      <c r="C383" s="349"/>
      <c r="D383" s="349"/>
      <c r="E383" s="349"/>
      <c r="F383" s="349"/>
      <c r="G383" s="349"/>
      <c r="H383" s="349"/>
      <c r="I383" s="349"/>
      <c r="J383" s="349"/>
      <c r="K383" s="349"/>
      <c r="L383" s="349"/>
      <c r="M383" s="349"/>
      <c r="N383" s="349"/>
      <c r="O383" s="349"/>
      <c r="P383" s="349"/>
      <c r="Q383" s="349"/>
      <c r="R383" s="349"/>
      <c r="S383" s="349"/>
      <c r="T383" s="349"/>
      <c r="U383" s="349"/>
      <c r="V383" s="349"/>
      <c r="W383" s="349"/>
      <c r="X383" s="349"/>
      <c r="Y383" s="349"/>
      <c r="Z383" s="349"/>
      <c r="AA383" s="349"/>
      <c r="AB383" s="349"/>
      <c r="AC383" s="349"/>
      <c r="AD383" s="349"/>
      <c r="AE383" s="349"/>
      <c r="AF383" s="349"/>
      <c r="AG383" s="349"/>
      <c r="AH383" s="349"/>
      <c r="AI383" s="349"/>
      <c r="AJ383" s="349"/>
      <c r="AK383" s="349"/>
      <c r="AL383" s="349"/>
      <c r="AM383" s="349"/>
      <c r="AN383" s="349"/>
      <c r="AO383" s="349"/>
      <c r="AP383" s="349"/>
      <c r="AQ383" s="349"/>
      <c r="AR383" s="349"/>
      <c r="AS383" s="349"/>
      <c r="AT383" s="349"/>
      <c r="AU383" s="349"/>
      <c r="AV383" s="349"/>
      <c r="AW383" s="349"/>
      <c r="AX383" s="349"/>
      <c r="AY383" s="349"/>
      <c r="AZ383" s="349"/>
      <c r="BA383" s="349"/>
      <c r="BB383" s="349"/>
      <c r="BC383" s="349"/>
      <c r="BD383" s="349"/>
      <c r="BE383" s="349"/>
      <c r="BF383" s="349"/>
      <c r="BG383" s="349"/>
      <c r="BH383" s="349"/>
      <c r="BI383" s="349"/>
      <c r="BJ383" s="349"/>
      <c r="BK383" s="349"/>
      <c r="BL383" s="349"/>
      <c r="BM383" s="349"/>
      <c r="BN383" s="349"/>
      <c r="BO383" s="349"/>
      <c r="BP383" s="349"/>
      <c r="BQ383" s="349"/>
      <c r="BR383" s="349"/>
      <c r="BS383" s="349"/>
    </row>
    <row r="384" spans="1:71" x14ac:dyDescent="0.3">
      <c r="A384" s="349"/>
      <c r="B384" s="349"/>
      <c r="C384" s="349"/>
      <c r="D384" s="349"/>
      <c r="E384" s="349"/>
      <c r="F384" s="349"/>
      <c r="G384" s="349"/>
      <c r="H384" s="349"/>
      <c r="I384" s="349"/>
      <c r="J384" s="349"/>
      <c r="K384" s="349"/>
      <c r="L384" s="349"/>
      <c r="M384" s="349"/>
      <c r="N384" s="349"/>
      <c r="O384" s="349"/>
      <c r="P384" s="349"/>
      <c r="Q384" s="349"/>
      <c r="R384" s="349"/>
      <c r="S384" s="349"/>
      <c r="T384" s="349"/>
      <c r="U384" s="349"/>
      <c r="V384" s="349"/>
      <c r="W384" s="349"/>
      <c r="X384" s="349"/>
      <c r="Y384" s="349"/>
      <c r="Z384" s="349"/>
      <c r="AA384" s="349"/>
      <c r="AB384" s="349"/>
      <c r="AC384" s="349"/>
      <c r="AD384" s="349"/>
      <c r="AE384" s="349"/>
      <c r="AF384" s="349"/>
      <c r="AG384" s="349"/>
      <c r="AH384" s="349"/>
      <c r="AI384" s="349"/>
      <c r="AJ384" s="349"/>
      <c r="AK384" s="349"/>
      <c r="AL384" s="349"/>
      <c r="AM384" s="349"/>
      <c r="AN384" s="349"/>
      <c r="AO384" s="349"/>
      <c r="AP384" s="349"/>
      <c r="AQ384" s="349"/>
      <c r="AR384" s="349"/>
      <c r="AS384" s="349"/>
      <c r="AT384" s="349"/>
      <c r="AU384" s="349"/>
      <c r="AV384" s="349"/>
      <c r="AW384" s="349"/>
      <c r="AX384" s="349"/>
      <c r="AY384" s="349"/>
      <c r="AZ384" s="349"/>
      <c r="BA384" s="349"/>
      <c r="BB384" s="349"/>
      <c r="BC384" s="349"/>
      <c r="BD384" s="349"/>
      <c r="BE384" s="349"/>
      <c r="BF384" s="349"/>
      <c r="BG384" s="349"/>
      <c r="BH384" s="349"/>
      <c r="BI384" s="349"/>
      <c r="BJ384" s="349"/>
      <c r="BK384" s="349"/>
      <c r="BL384" s="349"/>
      <c r="BM384" s="349"/>
      <c r="BN384" s="349"/>
      <c r="BO384" s="349"/>
      <c r="BP384" s="349"/>
      <c r="BQ384" s="349"/>
      <c r="BR384" s="349"/>
      <c r="BS384" s="349"/>
    </row>
    <row r="385" spans="1:71" x14ac:dyDescent="0.3">
      <c r="A385" s="349"/>
      <c r="B385" s="349"/>
      <c r="C385" s="349"/>
      <c r="D385" s="349"/>
      <c r="E385" s="349"/>
      <c r="F385" s="349"/>
      <c r="G385" s="349"/>
      <c r="H385" s="349"/>
      <c r="I385" s="349"/>
      <c r="J385" s="349"/>
      <c r="K385" s="349"/>
      <c r="L385" s="349"/>
      <c r="M385" s="349"/>
      <c r="N385" s="349"/>
      <c r="O385" s="349"/>
      <c r="P385" s="349"/>
      <c r="Q385" s="349"/>
      <c r="R385" s="349"/>
      <c r="S385" s="349"/>
      <c r="T385" s="349"/>
      <c r="U385" s="349"/>
      <c r="V385" s="349"/>
      <c r="W385" s="349"/>
      <c r="X385" s="349"/>
      <c r="Y385" s="349"/>
      <c r="Z385" s="349"/>
      <c r="AA385" s="349"/>
      <c r="AB385" s="349"/>
      <c r="AC385" s="349"/>
      <c r="AD385" s="349"/>
      <c r="AE385" s="349"/>
      <c r="AF385" s="349"/>
      <c r="AG385" s="349"/>
      <c r="AH385" s="349"/>
      <c r="AI385" s="349"/>
      <c r="AJ385" s="349"/>
      <c r="AK385" s="349"/>
      <c r="AL385" s="349"/>
      <c r="AM385" s="349"/>
      <c r="AN385" s="349"/>
      <c r="AO385" s="349"/>
      <c r="AP385" s="349"/>
      <c r="AQ385" s="349"/>
      <c r="AR385" s="349"/>
      <c r="AS385" s="349"/>
      <c r="AT385" s="349"/>
      <c r="AU385" s="349"/>
      <c r="AV385" s="349"/>
      <c r="AW385" s="349"/>
      <c r="AX385" s="349"/>
      <c r="AY385" s="349"/>
      <c r="AZ385" s="349"/>
      <c r="BA385" s="349"/>
      <c r="BB385" s="349"/>
      <c r="BC385" s="349"/>
      <c r="BD385" s="349"/>
      <c r="BE385" s="349"/>
      <c r="BF385" s="349"/>
      <c r="BG385" s="349"/>
      <c r="BH385" s="349"/>
      <c r="BI385" s="349"/>
      <c r="BJ385" s="349"/>
      <c r="BK385" s="349"/>
      <c r="BL385" s="349"/>
      <c r="BM385" s="349"/>
      <c r="BN385" s="349"/>
      <c r="BO385" s="349"/>
      <c r="BP385" s="349"/>
      <c r="BQ385" s="349"/>
      <c r="BR385" s="349"/>
      <c r="BS385" s="349"/>
    </row>
    <row r="386" spans="1:71" x14ac:dyDescent="0.3">
      <c r="A386" s="349"/>
      <c r="B386" s="349"/>
      <c r="C386" s="349"/>
      <c r="D386" s="349"/>
      <c r="E386" s="349"/>
      <c r="F386" s="349"/>
      <c r="G386" s="349"/>
      <c r="H386" s="349"/>
      <c r="I386" s="349"/>
      <c r="J386" s="349"/>
      <c r="K386" s="349"/>
      <c r="L386" s="349"/>
      <c r="M386" s="349"/>
      <c r="N386" s="349"/>
      <c r="O386" s="349"/>
      <c r="P386" s="349"/>
      <c r="Q386" s="349"/>
      <c r="R386" s="349"/>
      <c r="S386" s="349"/>
      <c r="T386" s="349"/>
      <c r="U386" s="349"/>
      <c r="V386" s="349"/>
      <c r="W386" s="349"/>
      <c r="X386" s="349"/>
      <c r="Y386" s="349"/>
      <c r="Z386" s="349"/>
      <c r="AA386" s="349"/>
      <c r="AB386" s="349"/>
      <c r="AC386" s="349"/>
      <c r="AD386" s="349"/>
      <c r="AE386" s="349"/>
      <c r="AF386" s="349"/>
      <c r="AG386" s="349"/>
      <c r="AH386" s="349"/>
      <c r="AI386" s="349"/>
      <c r="AJ386" s="349"/>
      <c r="AK386" s="349"/>
      <c r="AL386" s="349"/>
      <c r="AM386" s="349"/>
      <c r="AN386" s="349"/>
      <c r="AO386" s="349"/>
      <c r="AP386" s="349"/>
      <c r="AQ386" s="349"/>
      <c r="AR386" s="349"/>
      <c r="AS386" s="349"/>
      <c r="AT386" s="349"/>
      <c r="AU386" s="349"/>
      <c r="AV386" s="349"/>
      <c r="AW386" s="349"/>
      <c r="AX386" s="349"/>
      <c r="AY386" s="349"/>
      <c r="AZ386" s="349"/>
      <c r="BA386" s="349"/>
      <c r="BB386" s="349"/>
      <c r="BC386" s="349"/>
      <c r="BD386" s="349"/>
      <c r="BE386" s="349"/>
      <c r="BF386" s="349"/>
      <c r="BG386" s="349"/>
      <c r="BH386" s="349"/>
      <c r="BI386" s="349"/>
      <c r="BJ386" s="349"/>
      <c r="BK386" s="349"/>
      <c r="BL386" s="349"/>
      <c r="BM386" s="349"/>
      <c r="BN386" s="349"/>
      <c r="BO386" s="349"/>
      <c r="BP386" s="349"/>
      <c r="BQ386" s="349"/>
      <c r="BR386" s="349"/>
      <c r="BS386" s="349"/>
    </row>
    <row r="387" spans="1:71" x14ac:dyDescent="0.3">
      <c r="A387" s="349"/>
      <c r="B387" s="349"/>
      <c r="C387" s="349"/>
      <c r="D387" s="349"/>
      <c r="E387" s="349"/>
      <c r="F387" s="349"/>
      <c r="G387" s="349"/>
      <c r="H387" s="349"/>
      <c r="I387" s="349"/>
      <c r="J387" s="349"/>
      <c r="K387" s="349"/>
      <c r="L387" s="349"/>
      <c r="M387" s="349"/>
      <c r="N387" s="349"/>
      <c r="O387" s="349"/>
      <c r="P387" s="349"/>
      <c r="Q387" s="349"/>
      <c r="R387" s="349"/>
      <c r="S387" s="349"/>
      <c r="T387" s="349"/>
      <c r="U387" s="349"/>
      <c r="V387" s="349"/>
      <c r="W387" s="349"/>
      <c r="X387" s="349"/>
      <c r="Y387" s="349"/>
      <c r="Z387" s="349"/>
      <c r="AA387" s="349"/>
      <c r="AB387" s="349"/>
      <c r="AC387" s="349"/>
      <c r="AD387" s="349"/>
      <c r="AE387" s="349"/>
      <c r="AF387" s="349"/>
      <c r="AG387" s="349"/>
      <c r="AH387" s="349"/>
      <c r="AI387" s="349"/>
      <c r="AJ387" s="349"/>
      <c r="AK387" s="349"/>
      <c r="AL387" s="349"/>
      <c r="AM387" s="349"/>
      <c r="AN387" s="349"/>
      <c r="AO387" s="349"/>
      <c r="AP387" s="349"/>
      <c r="AQ387" s="349"/>
      <c r="AR387" s="349"/>
      <c r="AS387" s="349"/>
      <c r="AT387" s="349"/>
      <c r="AU387" s="349"/>
      <c r="AV387" s="349"/>
      <c r="AW387" s="349"/>
      <c r="AX387" s="349"/>
      <c r="AY387" s="349"/>
      <c r="AZ387" s="349"/>
      <c r="BA387" s="349"/>
      <c r="BB387" s="349"/>
      <c r="BC387" s="349"/>
      <c r="BD387" s="349"/>
      <c r="BE387" s="349"/>
      <c r="BF387" s="349"/>
      <c r="BG387" s="349"/>
      <c r="BH387" s="349"/>
      <c r="BI387" s="349"/>
      <c r="BJ387" s="349"/>
      <c r="BK387" s="349"/>
      <c r="BL387" s="349"/>
      <c r="BM387" s="349"/>
      <c r="BN387" s="349"/>
      <c r="BO387" s="349"/>
      <c r="BP387" s="349"/>
      <c r="BQ387" s="349"/>
      <c r="BR387" s="349"/>
      <c r="BS387" s="349"/>
    </row>
    <row r="388" spans="1:71" x14ac:dyDescent="0.3">
      <c r="A388" s="349"/>
      <c r="B388" s="349"/>
      <c r="C388" s="349"/>
      <c r="D388" s="349"/>
      <c r="E388" s="349"/>
      <c r="F388" s="349"/>
      <c r="G388" s="349"/>
      <c r="H388" s="349"/>
      <c r="I388" s="349"/>
      <c r="J388" s="349"/>
      <c r="K388" s="349"/>
      <c r="L388" s="349"/>
      <c r="M388" s="349"/>
      <c r="N388" s="349"/>
      <c r="O388" s="349"/>
      <c r="P388" s="349"/>
      <c r="Q388" s="349"/>
      <c r="R388" s="349"/>
      <c r="S388" s="349"/>
      <c r="T388" s="349"/>
      <c r="U388" s="349"/>
      <c r="V388" s="349"/>
      <c r="W388" s="349"/>
      <c r="X388" s="349"/>
      <c r="Y388" s="349"/>
      <c r="Z388" s="349"/>
      <c r="AA388" s="349"/>
      <c r="AB388" s="349"/>
      <c r="AC388" s="349"/>
      <c r="AD388" s="349"/>
      <c r="AE388" s="349"/>
      <c r="AF388" s="349"/>
      <c r="AG388" s="349"/>
      <c r="AH388" s="349"/>
      <c r="AI388" s="349"/>
      <c r="AJ388" s="349"/>
      <c r="AK388" s="349"/>
      <c r="AL388" s="349"/>
      <c r="AM388" s="349"/>
      <c r="AN388" s="349"/>
      <c r="AO388" s="349"/>
      <c r="AP388" s="349"/>
      <c r="AQ388" s="349"/>
      <c r="AR388" s="349"/>
      <c r="AS388" s="349"/>
      <c r="AT388" s="349"/>
      <c r="AU388" s="349"/>
      <c r="AV388" s="349"/>
      <c r="AW388" s="349"/>
      <c r="AX388" s="349"/>
      <c r="AY388" s="349"/>
      <c r="AZ388" s="349"/>
      <c r="BA388" s="349"/>
      <c r="BB388" s="349"/>
      <c r="BC388" s="349"/>
      <c r="BD388" s="349"/>
      <c r="BE388" s="349"/>
      <c r="BF388" s="349"/>
      <c r="BG388" s="349"/>
      <c r="BH388" s="349"/>
      <c r="BI388" s="349"/>
      <c r="BJ388" s="349"/>
      <c r="BK388" s="349"/>
      <c r="BL388" s="349"/>
      <c r="BM388" s="349"/>
      <c r="BN388" s="349"/>
      <c r="BO388" s="349"/>
      <c r="BP388" s="349"/>
      <c r="BQ388" s="349"/>
      <c r="BR388" s="349"/>
      <c r="BS388" s="349"/>
    </row>
    <row r="389" spans="1:71" x14ac:dyDescent="0.3">
      <c r="A389" s="349"/>
      <c r="B389" s="349"/>
      <c r="C389" s="349"/>
      <c r="D389" s="349"/>
      <c r="E389" s="349"/>
      <c r="F389" s="349"/>
      <c r="G389" s="349"/>
      <c r="H389" s="349"/>
      <c r="I389" s="349"/>
      <c r="J389" s="349"/>
      <c r="K389" s="349"/>
      <c r="L389" s="349"/>
      <c r="M389" s="349"/>
      <c r="N389" s="349"/>
      <c r="O389" s="349"/>
      <c r="P389" s="349"/>
      <c r="Q389" s="349"/>
      <c r="R389" s="349"/>
      <c r="S389" s="349"/>
      <c r="T389" s="349"/>
      <c r="U389" s="349"/>
      <c r="V389" s="349"/>
      <c r="W389" s="349"/>
      <c r="X389" s="349"/>
      <c r="Y389" s="349"/>
      <c r="Z389" s="349"/>
      <c r="AA389" s="349"/>
      <c r="AB389" s="349"/>
      <c r="AC389" s="349"/>
      <c r="AD389" s="349"/>
      <c r="AE389" s="349"/>
      <c r="AF389" s="349"/>
      <c r="AG389" s="349"/>
      <c r="AH389" s="349"/>
      <c r="AI389" s="349"/>
      <c r="AJ389" s="349"/>
      <c r="AK389" s="349"/>
      <c r="AL389" s="349"/>
      <c r="AM389" s="349"/>
      <c r="AN389" s="349"/>
      <c r="AO389" s="349"/>
      <c r="AP389" s="349"/>
      <c r="AQ389" s="349"/>
      <c r="AR389" s="349"/>
      <c r="AS389" s="349"/>
      <c r="AT389" s="349"/>
      <c r="AU389" s="349"/>
      <c r="AV389" s="349"/>
      <c r="AW389" s="349"/>
      <c r="AX389" s="349"/>
      <c r="AY389" s="349"/>
      <c r="AZ389" s="349"/>
      <c r="BA389" s="349"/>
      <c r="BB389" s="349"/>
      <c r="BC389" s="349"/>
      <c r="BD389" s="349"/>
      <c r="BE389" s="349"/>
      <c r="BF389" s="349"/>
      <c r="BG389" s="349"/>
      <c r="BH389" s="349"/>
      <c r="BI389" s="349"/>
      <c r="BJ389" s="349"/>
      <c r="BK389" s="349"/>
      <c r="BL389" s="349"/>
      <c r="BM389" s="349"/>
      <c r="BN389" s="349"/>
      <c r="BO389" s="349"/>
      <c r="BP389" s="349"/>
      <c r="BQ389" s="349"/>
      <c r="BR389" s="349"/>
      <c r="BS389" s="349"/>
    </row>
    <row r="390" spans="1:71" x14ac:dyDescent="0.3">
      <c r="A390" s="349"/>
      <c r="B390" s="349"/>
      <c r="C390" s="349"/>
      <c r="D390" s="349"/>
      <c r="E390" s="349"/>
      <c r="F390" s="349"/>
      <c r="G390" s="349"/>
      <c r="H390" s="349"/>
      <c r="I390" s="349"/>
      <c r="J390" s="349"/>
      <c r="K390" s="349"/>
      <c r="L390" s="349"/>
      <c r="M390" s="349"/>
      <c r="N390" s="349"/>
      <c r="O390" s="349"/>
      <c r="P390" s="349"/>
      <c r="Q390" s="349"/>
      <c r="R390" s="349"/>
      <c r="S390" s="349"/>
      <c r="T390" s="349"/>
      <c r="U390" s="349"/>
      <c r="V390" s="349"/>
      <c r="W390" s="349"/>
      <c r="X390" s="349"/>
      <c r="Y390" s="349"/>
      <c r="Z390" s="349"/>
      <c r="AA390" s="349"/>
      <c r="AB390" s="349"/>
      <c r="AC390" s="349"/>
      <c r="AD390" s="349"/>
      <c r="AE390" s="349"/>
      <c r="AF390" s="349"/>
      <c r="AG390" s="349"/>
      <c r="AH390" s="349"/>
      <c r="AI390" s="349"/>
      <c r="AJ390" s="349"/>
      <c r="AK390" s="349"/>
      <c r="AL390" s="349"/>
      <c r="AM390" s="349"/>
      <c r="AN390" s="349"/>
      <c r="AO390" s="349"/>
      <c r="AP390" s="349"/>
      <c r="AQ390" s="349"/>
      <c r="AR390" s="349"/>
      <c r="AS390" s="349"/>
      <c r="AT390" s="349"/>
      <c r="AU390" s="349"/>
      <c r="AV390" s="349"/>
      <c r="AW390" s="349"/>
      <c r="AX390" s="349"/>
      <c r="AY390" s="349"/>
      <c r="AZ390" s="349"/>
      <c r="BA390" s="349"/>
      <c r="BB390" s="349"/>
      <c r="BC390" s="349"/>
      <c r="BD390" s="349"/>
      <c r="BE390" s="349"/>
      <c r="BF390" s="349"/>
      <c r="BG390" s="349"/>
      <c r="BH390" s="349"/>
      <c r="BI390" s="349"/>
      <c r="BJ390" s="349"/>
      <c r="BK390" s="349"/>
      <c r="BL390" s="349"/>
      <c r="BM390" s="349"/>
      <c r="BN390" s="349"/>
      <c r="BO390" s="349"/>
      <c r="BP390" s="349"/>
      <c r="BQ390" s="349"/>
      <c r="BR390" s="349"/>
      <c r="BS390" s="349"/>
    </row>
    <row r="391" spans="1:71" x14ac:dyDescent="0.3">
      <c r="A391" s="349"/>
      <c r="B391" s="349"/>
      <c r="C391" s="349"/>
      <c r="D391" s="349"/>
      <c r="E391" s="349"/>
      <c r="F391" s="349"/>
      <c r="G391" s="349"/>
      <c r="H391" s="349"/>
      <c r="I391" s="349"/>
      <c r="J391" s="349"/>
      <c r="K391" s="349"/>
      <c r="L391" s="349"/>
      <c r="M391" s="349"/>
      <c r="N391" s="349"/>
      <c r="O391" s="349"/>
      <c r="P391" s="349"/>
      <c r="Q391" s="349"/>
      <c r="R391" s="349"/>
      <c r="S391" s="349"/>
      <c r="T391" s="349"/>
      <c r="U391" s="349"/>
      <c r="V391" s="349"/>
      <c r="W391" s="349"/>
      <c r="X391" s="349"/>
      <c r="Y391" s="349"/>
      <c r="Z391" s="349"/>
      <c r="AA391" s="349"/>
      <c r="AB391" s="349"/>
      <c r="AC391" s="349"/>
      <c r="AD391" s="349"/>
      <c r="AE391" s="349"/>
      <c r="AF391" s="349"/>
      <c r="AG391" s="349"/>
      <c r="AH391" s="349"/>
      <c r="AI391" s="349"/>
      <c r="AJ391" s="349"/>
      <c r="AK391" s="349"/>
      <c r="AL391" s="349"/>
      <c r="AM391" s="349"/>
      <c r="AN391" s="349"/>
      <c r="AO391" s="349"/>
      <c r="AP391" s="349"/>
      <c r="AQ391" s="349"/>
      <c r="AR391" s="349"/>
      <c r="AS391" s="349"/>
      <c r="AT391" s="349"/>
      <c r="AU391" s="349"/>
      <c r="AV391" s="349"/>
      <c r="AW391" s="349"/>
      <c r="AX391" s="349"/>
      <c r="AY391" s="349"/>
      <c r="AZ391" s="349"/>
      <c r="BA391" s="349"/>
      <c r="BB391" s="349"/>
      <c r="BC391" s="349"/>
      <c r="BD391" s="349"/>
      <c r="BE391" s="349"/>
      <c r="BF391" s="349"/>
      <c r="BG391" s="349"/>
      <c r="BH391" s="349"/>
      <c r="BI391" s="349"/>
      <c r="BJ391" s="349"/>
      <c r="BK391" s="349"/>
      <c r="BL391" s="349"/>
      <c r="BM391" s="349"/>
      <c r="BN391" s="349"/>
      <c r="BO391" s="349"/>
      <c r="BP391" s="349"/>
      <c r="BQ391" s="349"/>
      <c r="BR391" s="349"/>
      <c r="BS391" s="349"/>
    </row>
    <row r="392" spans="1:71" x14ac:dyDescent="0.3">
      <c r="A392" s="349"/>
      <c r="B392" s="349"/>
      <c r="C392" s="349"/>
      <c r="D392" s="349"/>
      <c r="E392" s="349"/>
      <c r="F392" s="349"/>
      <c r="G392" s="349"/>
      <c r="H392" s="349"/>
      <c r="I392" s="349"/>
      <c r="J392" s="349"/>
      <c r="K392" s="349"/>
      <c r="L392" s="349"/>
      <c r="M392" s="349"/>
      <c r="N392" s="349"/>
      <c r="O392" s="349"/>
      <c r="P392" s="349"/>
      <c r="Q392" s="349"/>
      <c r="R392" s="349"/>
      <c r="S392" s="349"/>
      <c r="T392" s="349"/>
      <c r="U392" s="349"/>
      <c r="V392" s="349"/>
      <c r="W392" s="349"/>
      <c r="X392" s="349"/>
      <c r="Y392" s="349"/>
      <c r="Z392" s="349"/>
      <c r="AA392" s="349"/>
      <c r="AB392" s="349"/>
      <c r="AC392" s="349"/>
      <c r="AD392" s="349"/>
      <c r="AE392" s="349"/>
      <c r="AF392" s="349"/>
      <c r="AG392" s="349"/>
      <c r="AH392" s="349"/>
      <c r="AI392" s="349"/>
      <c r="AJ392" s="349"/>
      <c r="AK392" s="349"/>
      <c r="AL392" s="349"/>
      <c r="AM392" s="349"/>
      <c r="AN392" s="349"/>
      <c r="AO392" s="349"/>
      <c r="AP392" s="349"/>
      <c r="AQ392" s="349"/>
      <c r="AR392" s="349"/>
      <c r="AS392" s="349"/>
      <c r="AT392" s="349"/>
      <c r="AU392" s="349"/>
      <c r="AV392" s="349"/>
      <c r="AW392" s="349"/>
      <c r="AX392" s="349"/>
      <c r="AY392" s="349"/>
      <c r="AZ392" s="349"/>
      <c r="BA392" s="349"/>
      <c r="BB392" s="349"/>
      <c r="BC392" s="349"/>
      <c r="BD392" s="349"/>
      <c r="BE392" s="349"/>
      <c r="BF392" s="349"/>
      <c r="BG392" s="349"/>
      <c r="BH392" s="349"/>
      <c r="BI392" s="349"/>
      <c r="BJ392" s="349"/>
      <c r="BK392" s="349"/>
      <c r="BL392" s="349"/>
      <c r="BM392" s="349"/>
      <c r="BN392" s="349"/>
      <c r="BO392" s="349"/>
      <c r="BP392" s="349"/>
      <c r="BQ392" s="349"/>
      <c r="BR392" s="349"/>
      <c r="BS392" s="349"/>
    </row>
    <row r="393" spans="1:71" x14ac:dyDescent="0.3">
      <c r="A393" s="349"/>
      <c r="B393" s="349"/>
      <c r="C393" s="349"/>
      <c r="D393" s="349"/>
      <c r="E393" s="349"/>
      <c r="F393" s="349"/>
      <c r="G393" s="349"/>
      <c r="H393" s="349"/>
      <c r="I393" s="349"/>
      <c r="J393" s="349"/>
      <c r="K393" s="349"/>
      <c r="L393" s="349"/>
      <c r="M393" s="349"/>
      <c r="N393" s="349"/>
      <c r="O393" s="349"/>
      <c r="P393" s="349"/>
      <c r="Q393" s="349"/>
      <c r="R393" s="349"/>
      <c r="S393" s="349"/>
      <c r="T393" s="349"/>
      <c r="U393" s="349"/>
      <c r="V393" s="349"/>
      <c r="W393" s="349"/>
      <c r="X393" s="349"/>
      <c r="Y393" s="349"/>
      <c r="Z393" s="349"/>
      <c r="AA393" s="349"/>
      <c r="AB393" s="349"/>
      <c r="AC393" s="349"/>
      <c r="AD393" s="349"/>
      <c r="AE393" s="349"/>
      <c r="AF393" s="349"/>
      <c r="AG393" s="349"/>
      <c r="AH393" s="349"/>
      <c r="AI393" s="349"/>
      <c r="AJ393" s="349"/>
      <c r="AK393" s="349"/>
      <c r="AL393" s="349"/>
      <c r="AM393" s="349"/>
      <c r="AN393" s="349"/>
      <c r="AO393" s="349"/>
      <c r="AP393" s="349"/>
      <c r="AQ393" s="349"/>
      <c r="AR393" s="349"/>
      <c r="AS393" s="349"/>
      <c r="AT393" s="349"/>
      <c r="AU393" s="349"/>
      <c r="AV393" s="349"/>
      <c r="AW393" s="349"/>
      <c r="AX393" s="349"/>
      <c r="AY393" s="349"/>
      <c r="AZ393" s="349"/>
      <c r="BA393" s="349"/>
      <c r="BB393" s="349"/>
      <c r="BC393" s="349"/>
      <c r="BD393" s="349"/>
      <c r="BE393" s="349"/>
      <c r="BF393" s="349"/>
      <c r="BG393" s="349"/>
      <c r="BH393" s="349"/>
      <c r="BI393" s="349"/>
      <c r="BJ393" s="349"/>
      <c r="BK393" s="349"/>
      <c r="BL393" s="349"/>
      <c r="BM393" s="349"/>
      <c r="BN393" s="349"/>
      <c r="BO393" s="349"/>
      <c r="BP393" s="349"/>
      <c r="BQ393" s="349"/>
      <c r="BR393" s="349"/>
      <c r="BS393" s="349"/>
    </row>
    <row r="394" spans="1:71" x14ac:dyDescent="0.3">
      <c r="A394" s="349"/>
      <c r="B394" s="349"/>
      <c r="C394" s="349"/>
      <c r="D394" s="349"/>
      <c r="E394" s="349"/>
      <c r="F394" s="349"/>
      <c r="G394" s="349"/>
      <c r="H394" s="349"/>
      <c r="I394" s="349"/>
      <c r="J394" s="349"/>
      <c r="K394" s="349"/>
      <c r="L394" s="349"/>
      <c r="M394" s="349"/>
      <c r="N394" s="349"/>
      <c r="O394" s="349"/>
      <c r="P394" s="349"/>
      <c r="Q394" s="349"/>
      <c r="R394" s="349"/>
      <c r="S394" s="349"/>
      <c r="T394" s="349"/>
      <c r="U394" s="349"/>
      <c r="V394" s="349"/>
      <c r="W394" s="349"/>
      <c r="X394" s="349"/>
      <c r="Y394" s="349"/>
      <c r="Z394" s="349"/>
      <c r="AA394" s="349"/>
      <c r="AB394" s="349"/>
      <c r="AC394" s="349"/>
      <c r="AD394" s="349"/>
      <c r="AE394" s="349"/>
      <c r="AF394" s="349"/>
      <c r="AG394" s="349"/>
      <c r="AH394" s="349"/>
      <c r="AI394" s="349"/>
      <c r="AJ394" s="349"/>
      <c r="AK394" s="349"/>
      <c r="AL394" s="349"/>
      <c r="AM394" s="349"/>
      <c r="AN394" s="349"/>
      <c r="AO394" s="349"/>
      <c r="AP394" s="349"/>
      <c r="AQ394" s="349"/>
      <c r="AR394" s="349"/>
      <c r="AS394" s="349"/>
      <c r="AT394" s="349"/>
      <c r="AU394" s="349"/>
      <c r="AV394" s="349"/>
      <c r="AW394" s="349"/>
      <c r="AX394" s="349"/>
      <c r="AY394" s="349"/>
      <c r="AZ394" s="349"/>
      <c r="BA394" s="349"/>
      <c r="BB394" s="349"/>
      <c r="BC394" s="349"/>
      <c r="BD394" s="349"/>
      <c r="BE394" s="349"/>
      <c r="BF394" s="349"/>
      <c r="BG394" s="349"/>
      <c r="BH394" s="349"/>
      <c r="BI394" s="349"/>
      <c r="BJ394" s="349"/>
      <c r="BK394" s="349"/>
      <c r="BL394" s="349"/>
      <c r="BM394" s="349"/>
      <c r="BN394" s="349"/>
      <c r="BO394" s="349"/>
      <c r="BP394" s="349"/>
      <c r="BQ394" s="349"/>
      <c r="BR394" s="349"/>
      <c r="BS394" s="349"/>
    </row>
    <row r="395" spans="1:71" x14ac:dyDescent="0.3">
      <c r="A395" s="349"/>
      <c r="B395" s="349"/>
      <c r="C395" s="349"/>
      <c r="D395" s="349"/>
      <c r="E395" s="349"/>
      <c r="F395" s="349"/>
      <c r="G395" s="349"/>
      <c r="H395" s="349"/>
      <c r="I395" s="349"/>
      <c r="J395" s="349"/>
      <c r="K395" s="349"/>
      <c r="L395" s="349"/>
      <c r="M395" s="349"/>
      <c r="N395" s="349"/>
      <c r="O395" s="349"/>
      <c r="P395" s="349"/>
      <c r="Q395" s="349"/>
      <c r="R395" s="349"/>
      <c r="S395" s="349"/>
      <c r="T395" s="349"/>
      <c r="U395" s="349"/>
      <c r="V395" s="349"/>
      <c r="W395" s="349"/>
      <c r="X395" s="349"/>
      <c r="Y395" s="349"/>
      <c r="Z395" s="349"/>
      <c r="AA395" s="349"/>
      <c r="AB395" s="349"/>
      <c r="AC395" s="349"/>
      <c r="AD395" s="349"/>
      <c r="AE395" s="349"/>
      <c r="AF395" s="349"/>
      <c r="AG395" s="349"/>
      <c r="AH395" s="349"/>
      <c r="AI395" s="349"/>
      <c r="AJ395" s="349"/>
      <c r="AK395" s="349"/>
      <c r="AL395" s="349"/>
      <c r="AM395" s="349"/>
      <c r="AN395" s="349"/>
      <c r="AO395" s="349"/>
      <c r="AP395" s="349"/>
      <c r="AQ395" s="349"/>
      <c r="AR395" s="349"/>
      <c r="AS395" s="349"/>
      <c r="AT395" s="349"/>
      <c r="AU395" s="349"/>
      <c r="AV395" s="349"/>
      <c r="AW395" s="349"/>
      <c r="AX395" s="349"/>
      <c r="AY395" s="349"/>
      <c r="AZ395" s="349"/>
      <c r="BA395" s="349"/>
      <c r="BB395" s="349"/>
      <c r="BC395" s="349"/>
      <c r="BD395" s="349"/>
      <c r="BE395" s="349"/>
      <c r="BF395" s="349"/>
      <c r="BG395" s="349"/>
      <c r="BH395" s="349"/>
      <c r="BI395" s="349"/>
      <c r="BJ395" s="349"/>
      <c r="BK395" s="349"/>
      <c r="BL395" s="349"/>
      <c r="BM395" s="349"/>
      <c r="BN395" s="349"/>
      <c r="BO395" s="349"/>
      <c r="BP395" s="349"/>
      <c r="BQ395" s="349"/>
      <c r="BR395" s="349"/>
      <c r="BS395" s="349"/>
    </row>
    <row r="396" spans="1:71" x14ac:dyDescent="0.3">
      <c r="A396" s="349"/>
      <c r="B396" s="349"/>
      <c r="C396" s="349"/>
      <c r="D396" s="349"/>
      <c r="E396" s="349"/>
      <c r="F396" s="349"/>
      <c r="G396" s="349"/>
      <c r="H396" s="349"/>
      <c r="I396" s="349"/>
      <c r="J396" s="349"/>
      <c r="K396" s="349"/>
      <c r="L396" s="349"/>
      <c r="M396" s="349"/>
      <c r="N396" s="349"/>
      <c r="O396" s="349"/>
      <c r="P396" s="349"/>
      <c r="Q396" s="349"/>
      <c r="R396" s="349"/>
      <c r="S396" s="349"/>
      <c r="T396" s="349"/>
      <c r="U396" s="349"/>
      <c r="V396" s="349"/>
      <c r="W396" s="349"/>
      <c r="X396" s="349"/>
      <c r="Y396" s="349"/>
      <c r="Z396" s="349"/>
      <c r="AA396" s="349"/>
      <c r="AB396" s="349"/>
      <c r="AC396" s="349"/>
      <c r="AD396" s="349"/>
      <c r="AE396" s="349"/>
      <c r="AF396" s="349"/>
      <c r="AG396" s="349"/>
      <c r="AH396" s="349"/>
      <c r="AI396" s="349"/>
      <c r="AJ396" s="349"/>
      <c r="AK396" s="349"/>
      <c r="AL396" s="349"/>
      <c r="AM396" s="349"/>
      <c r="AN396" s="349"/>
      <c r="AO396" s="349"/>
      <c r="AP396" s="349"/>
      <c r="AQ396" s="349"/>
      <c r="AR396" s="349"/>
      <c r="AS396" s="349"/>
      <c r="AT396" s="349"/>
      <c r="AU396" s="349"/>
      <c r="AV396" s="349"/>
      <c r="AW396" s="349"/>
      <c r="AX396" s="349"/>
      <c r="AY396" s="349"/>
      <c r="AZ396" s="349"/>
      <c r="BA396" s="349"/>
      <c r="BB396" s="349"/>
      <c r="BC396" s="349"/>
      <c r="BD396" s="349"/>
      <c r="BE396" s="349"/>
      <c r="BF396" s="349"/>
      <c r="BG396" s="349"/>
      <c r="BH396" s="349"/>
      <c r="BI396" s="349"/>
      <c r="BJ396" s="349"/>
      <c r="BK396" s="349"/>
      <c r="BL396" s="349"/>
      <c r="BM396" s="349"/>
      <c r="BN396" s="349"/>
      <c r="BO396" s="349"/>
      <c r="BP396" s="349"/>
      <c r="BQ396" s="349"/>
      <c r="BR396" s="349"/>
      <c r="BS396" s="349"/>
    </row>
    <row r="397" spans="1:71" x14ac:dyDescent="0.3">
      <c r="A397" s="349"/>
      <c r="B397" s="349"/>
      <c r="C397" s="349"/>
      <c r="D397" s="349"/>
      <c r="E397" s="349"/>
      <c r="F397" s="349"/>
      <c r="G397" s="349"/>
      <c r="H397" s="349"/>
      <c r="I397" s="349"/>
      <c r="J397" s="349"/>
      <c r="K397" s="349"/>
      <c r="L397" s="349"/>
      <c r="M397" s="349"/>
      <c r="N397" s="349"/>
      <c r="O397" s="349"/>
      <c r="P397" s="349"/>
      <c r="Q397" s="349"/>
      <c r="R397" s="349"/>
      <c r="S397" s="349"/>
      <c r="T397" s="349"/>
      <c r="U397" s="349"/>
      <c r="V397" s="349"/>
      <c r="W397" s="349"/>
      <c r="X397" s="349"/>
      <c r="Y397" s="349"/>
      <c r="Z397" s="349"/>
      <c r="AA397" s="349"/>
      <c r="AB397" s="349"/>
      <c r="AC397" s="349"/>
      <c r="AD397" s="349"/>
      <c r="AE397" s="349"/>
      <c r="AF397" s="349"/>
      <c r="AG397" s="349"/>
      <c r="AH397" s="349"/>
      <c r="AI397" s="349"/>
      <c r="AJ397" s="349"/>
      <c r="AK397" s="349"/>
      <c r="AL397" s="349"/>
      <c r="AM397" s="349"/>
      <c r="AN397" s="349"/>
      <c r="AO397" s="349"/>
      <c r="AP397" s="349"/>
      <c r="AQ397" s="349"/>
      <c r="AR397" s="349"/>
      <c r="AS397" s="349"/>
      <c r="AT397" s="349"/>
      <c r="AU397" s="349"/>
      <c r="AV397" s="349"/>
      <c r="AW397" s="349"/>
      <c r="AX397" s="349"/>
      <c r="AY397" s="349"/>
      <c r="AZ397" s="349"/>
      <c r="BA397" s="349"/>
      <c r="BB397" s="349"/>
      <c r="BC397" s="349"/>
      <c r="BD397" s="349"/>
      <c r="BE397" s="349"/>
      <c r="BF397" s="349"/>
      <c r="BG397" s="349"/>
      <c r="BH397" s="349"/>
      <c r="BI397" s="349"/>
      <c r="BJ397" s="349"/>
      <c r="BK397" s="349"/>
      <c r="BL397" s="349"/>
      <c r="BM397" s="349"/>
      <c r="BN397" s="349"/>
      <c r="BO397" s="349"/>
      <c r="BP397" s="349"/>
      <c r="BQ397" s="349"/>
      <c r="BR397" s="349"/>
      <c r="BS397" s="349"/>
    </row>
    <row r="398" spans="1:71" x14ac:dyDescent="0.3">
      <c r="A398" s="349"/>
      <c r="B398" s="349"/>
      <c r="C398" s="349"/>
      <c r="D398" s="349"/>
      <c r="E398" s="349"/>
      <c r="F398" s="349"/>
      <c r="G398" s="349"/>
      <c r="H398" s="349"/>
      <c r="I398" s="349"/>
      <c r="J398" s="349"/>
      <c r="K398" s="349"/>
      <c r="L398" s="349"/>
      <c r="M398" s="349"/>
      <c r="N398" s="349"/>
      <c r="O398" s="349"/>
      <c r="P398" s="349"/>
      <c r="Q398" s="349"/>
      <c r="R398" s="349"/>
      <c r="S398" s="349"/>
      <c r="T398" s="349"/>
      <c r="U398" s="349"/>
      <c r="V398" s="349"/>
      <c r="W398" s="349"/>
      <c r="X398" s="349"/>
      <c r="Y398" s="349"/>
      <c r="Z398" s="349"/>
      <c r="AA398" s="349"/>
      <c r="AB398" s="349"/>
      <c r="AC398" s="349"/>
      <c r="AD398" s="349"/>
      <c r="AE398" s="349"/>
      <c r="AF398" s="349"/>
      <c r="AG398" s="349"/>
      <c r="AH398" s="349"/>
      <c r="AI398" s="349"/>
      <c r="AJ398" s="349"/>
      <c r="AK398" s="349"/>
      <c r="AL398" s="349"/>
      <c r="AM398" s="349"/>
      <c r="AN398" s="349"/>
      <c r="AO398" s="349"/>
      <c r="AP398" s="349"/>
      <c r="AQ398" s="349"/>
      <c r="AR398" s="349"/>
      <c r="AS398" s="349"/>
      <c r="AT398" s="349"/>
      <c r="AU398" s="349"/>
      <c r="AV398" s="349"/>
      <c r="AW398" s="349"/>
      <c r="AX398" s="349"/>
      <c r="AY398" s="349"/>
      <c r="AZ398" s="349"/>
      <c r="BA398" s="349"/>
      <c r="BB398" s="349"/>
      <c r="BC398" s="349"/>
      <c r="BD398" s="349"/>
      <c r="BE398" s="349"/>
      <c r="BF398" s="349"/>
      <c r="BG398" s="349"/>
      <c r="BH398" s="349"/>
      <c r="BI398" s="349"/>
      <c r="BJ398" s="349"/>
      <c r="BK398" s="349"/>
      <c r="BL398" s="349"/>
      <c r="BM398" s="349"/>
      <c r="BN398" s="349"/>
      <c r="BO398" s="349"/>
      <c r="BP398" s="349"/>
      <c r="BQ398" s="349"/>
      <c r="BR398" s="349"/>
      <c r="BS398" s="349"/>
    </row>
    <row r="399" spans="1:71" x14ac:dyDescent="0.3">
      <c r="A399" s="349"/>
      <c r="B399" s="349"/>
      <c r="C399" s="349"/>
      <c r="D399" s="349"/>
      <c r="E399" s="349"/>
      <c r="F399" s="349"/>
      <c r="G399" s="349"/>
      <c r="H399" s="349"/>
      <c r="I399" s="349"/>
      <c r="J399" s="349"/>
      <c r="K399" s="349"/>
      <c r="L399" s="349"/>
      <c r="M399" s="349"/>
      <c r="N399" s="349"/>
      <c r="O399" s="349"/>
      <c r="P399" s="349"/>
      <c r="Q399" s="349"/>
      <c r="R399" s="349"/>
      <c r="S399" s="349"/>
      <c r="T399" s="349"/>
      <c r="U399" s="349"/>
      <c r="V399" s="349"/>
      <c r="W399" s="349"/>
      <c r="X399" s="349"/>
      <c r="Y399" s="349"/>
      <c r="Z399" s="349"/>
      <c r="AA399" s="349"/>
      <c r="AB399" s="349"/>
      <c r="AC399" s="349"/>
      <c r="AD399" s="349"/>
      <c r="AE399" s="349"/>
      <c r="AF399" s="349"/>
      <c r="AG399" s="349"/>
      <c r="AH399" s="349"/>
      <c r="AI399" s="349"/>
      <c r="AJ399" s="349"/>
      <c r="AK399" s="349"/>
      <c r="AL399" s="349"/>
      <c r="AM399" s="349"/>
      <c r="AN399" s="349"/>
      <c r="AO399" s="349"/>
      <c r="AP399" s="349"/>
      <c r="AQ399" s="349"/>
      <c r="AR399" s="349"/>
      <c r="AS399" s="349"/>
      <c r="AT399" s="349"/>
      <c r="AU399" s="349"/>
      <c r="AV399" s="349"/>
      <c r="AW399" s="349"/>
      <c r="AX399" s="349"/>
      <c r="AY399" s="349"/>
      <c r="AZ399" s="349"/>
      <c r="BA399" s="349"/>
      <c r="BB399" s="349"/>
      <c r="BC399" s="349"/>
      <c r="BD399" s="349"/>
      <c r="BE399" s="349"/>
      <c r="BF399" s="349"/>
      <c r="BG399" s="349"/>
      <c r="BH399" s="349"/>
      <c r="BI399" s="349"/>
      <c r="BJ399" s="349"/>
      <c r="BK399" s="349"/>
      <c r="BL399" s="349"/>
      <c r="BM399" s="349"/>
      <c r="BN399" s="349"/>
      <c r="BO399" s="349"/>
      <c r="BP399" s="349"/>
      <c r="BQ399" s="349"/>
      <c r="BR399" s="349"/>
      <c r="BS399" s="349"/>
    </row>
    <row r="400" spans="1:71" x14ac:dyDescent="0.3">
      <c r="A400" s="349"/>
      <c r="B400" s="349"/>
      <c r="C400" s="349"/>
      <c r="D400" s="349"/>
      <c r="E400" s="349"/>
      <c r="F400" s="349"/>
      <c r="G400" s="349"/>
      <c r="H400" s="349"/>
      <c r="I400" s="349"/>
      <c r="J400" s="349"/>
      <c r="K400" s="349"/>
      <c r="L400" s="349"/>
      <c r="M400" s="349"/>
      <c r="N400" s="349"/>
      <c r="O400" s="349"/>
      <c r="P400" s="349"/>
      <c r="Q400" s="349"/>
      <c r="R400" s="349"/>
      <c r="S400" s="349"/>
      <c r="T400" s="349"/>
      <c r="U400" s="349"/>
      <c r="V400" s="349"/>
      <c r="W400" s="349"/>
      <c r="X400" s="349"/>
      <c r="Y400" s="349"/>
      <c r="Z400" s="349"/>
      <c r="AA400" s="349"/>
      <c r="AB400" s="349"/>
      <c r="AC400" s="349"/>
      <c r="AD400" s="349"/>
      <c r="AE400" s="349"/>
      <c r="AF400" s="349"/>
      <c r="AG400" s="349"/>
      <c r="AH400" s="349"/>
      <c r="AI400" s="349"/>
      <c r="AJ400" s="349"/>
      <c r="AK400" s="349"/>
      <c r="AL400" s="349"/>
      <c r="AM400" s="349"/>
      <c r="AN400" s="349"/>
      <c r="AO400" s="349"/>
      <c r="AP400" s="349"/>
      <c r="AQ400" s="349"/>
      <c r="AR400" s="349"/>
      <c r="AS400" s="349"/>
      <c r="AT400" s="349"/>
      <c r="AU400" s="349"/>
      <c r="AV400" s="349"/>
      <c r="AW400" s="349"/>
      <c r="AX400" s="349"/>
      <c r="AY400" s="349"/>
      <c r="AZ400" s="349"/>
      <c r="BA400" s="349"/>
      <c r="BB400" s="349"/>
      <c r="BC400" s="349"/>
      <c r="BD400" s="349"/>
      <c r="BE400" s="349"/>
      <c r="BF400" s="349"/>
      <c r="BG400" s="349"/>
      <c r="BH400" s="349"/>
      <c r="BI400" s="349"/>
      <c r="BJ400" s="349"/>
      <c r="BK400" s="349"/>
      <c r="BL400" s="349"/>
      <c r="BM400" s="349"/>
      <c r="BN400" s="349"/>
      <c r="BO400" s="349"/>
      <c r="BP400" s="349"/>
      <c r="BQ400" s="349"/>
      <c r="BR400" s="349"/>
      <c r="BS400" s="349"/>
    </row>
    <row r="401" spans="1:71" x14ac:dyDescent="0.3">
      <c r="A401" s="349"/>
      <c r="B401" s="349"/>
      <c r="C401" s="349"/>
      <c r="D401" s="349"/>
      <c r="E401" s="349"/>
      <c r="F401" s="349"/>
      <c r="G401" s="349"/>
      <c r="H401" s="349"/>
      <c r="I401" s="349"/>
      <c r="J401" s="349"/>
      <c r="K401" s="349"/>
      <c r="L401" s="349"/>
      <c r="M401" s="349"/>
      <c r="N401" s="349"/>
      <c r="O401" s="349"/>
      <c r="P401" s="349"/>
      <c r="Q401" s="349"/>
      <c r="R401" s="349"/>
      <c r="S401" s="349"/>
      <c r="T401" s="349"/>
      <c r="U401" s="349"/>
      <c r="V401" s="349"/>
      <c r="W401" s="349"/>
      <c r="X401" s="349"/>
      <c r="Y401" s="349"/>
      <c r="Z401" s="349"/>
      <c r="AA401" s="349"/>
      <c r="AB401" s="349"/>
      <c r="AC401" s="349"/>
      <c r="AD401" s="349"/>
      <c r="AE401" s="349"/>
      <c r="AF401" s="349"/>
      <c r="AG401" s="349"/>
      <c r="AH401" s="349"/>
      <c r="AI401" s="349"/>
      <c r="AJ401" s="349"/>
      <c r="AK401" s="349"/>
      <c r="AL401" s="349"/>
      <c r="AM401" s="349"/>
      <c r="AN401" s="349"/>
      <c r="AO401" s="349"/>
      <c r="AP401" s="349"/>
      <c r="AQ401" s="349"/>
      <c r="AR401" s="349"/>
      <c r="AS401" s="349"/>
      <c r="AT401" s="349"/>
      <c r="AU401" s="349"/>
      <c r="AV401" s="349"/>
      <c r="AW401" s="349"/>
      <c r="AX401" s="349"/>
      <c r="AY401" s="349"/>
      <c r="AZ401" s="349"/>
      <c r="BA401" s="349"/>
      <c r="BB401" s="349"/>
      <c r="BC401" s="349"/>
      <c r="BD401" s="349"/>
      <c r="BE401" s="349"/>
      <c r="BF401" s="349"/>
      <c r="BG401" s="349"/>
      <c r="BH401" s="349"/>
      <c r="BI401" s="349"/>
      <c r="BJ401" s="349"/>
      <c r="BK401" s="349"/>
      <c r="BL401" s="349"/>
      <c r="BM401" s="349"/>
      <c r="BN401" s="349"/>
      <c r="BO401" s="349"/>
      <c r="BP401" s="349"/>
      <c r="BQ401" s="349"/>
      <c r="BR401" s="349"/>
      <c r="BS401" s="349"/>
    </row>
    <row r="402" spans="1:71" x14ac:dyDescent="0.3">
      <c r="A402" s="349"/>
      <c r="B402" s="349"/>
      <c r="C402" s="349"/>
      <c r="D402" s="349"/>
      <c r="E402" s="349"/>
      <c r="F402" s="349"/>
      <c r="G402" s="349"/>
      <c r="H402" s="349"/>
      <c r="I402" s="349"/>
      <c r="J402" s="349"/>
      <c r="K402" s="349"/>
      <c r="L402" s="349"/>
      <c r="M402" s="349"/>
      <c r="N402" s="349"/>
      <c r="O402" s="349"/>
      <c r="P402" s="349"/>
      <c r="Q402" s="349"/>
      <c r="R402" s="349"/>
      <c r="S402" s="349"/>
      <c r="T402" s="349"/>
      <c r="U402" s="349"/>
      <c r="V402" s="349"/>
      <c r="W402" s="349"/>
      <c r="X402" s="349"/>
      <c r="Y402" s="349"/>
      <c r="Z402" s="349"/>
      <c r="AA402" s="349"/>
      <c r="AB402" s="349"/>
      <c r="AC402" s="349"/>
      <c r="AD402" s="349"/>
      <c r="AE402" s="349"/>
      <c r="AF402" s="349"/>
      <c r="AG402" s="349"/>
      <c r="AH402" s="349"/>
      <c r="AI402" s="349"/>
      <c r="AJ402" s="349"/>
      <c r="AK402" s="349"/>
      <c r="AL402" s="349"/>
      <c r="AM402" s="349"/>
      <c r="AN402" s="349"/>
      <c r="AO402" s="349"/>
      <c r="AP402" s="349"/>
      <c r="AQ402" s="349"/>
      <c r="AR402" s="349"/>
      <c r="AS402" s="349"/>
      <c r="AT402" s="349"/>
      <c r="AU402" s="349"/>
      <c r="AV402" s="349"/>
      <c r="AW402" s="349"/>
      <c r="AX402" s="349"/>
      <c r="AY402" s="349"/>
      <c r="AZ402" s="349"/>
      <c r="BA402" s="349"/>
      <c r="BB402" s="349"/>
      <c r="BC402" s="349"/>
      <c r="BD402" s="349"/>
      <c r="BE402" s="349"/>
      <c r="BF402" s="349"/>
      <c r="BG402" s="349"/>
      <c r="BH402" s="349"/>
      <c r="BI402" s="349"/>
      <c r="BJ402" s="349"/>
      <c r="BK402" s="349"/>
      <c r="BL402" s="349"/>
      <c r="BM402" s="349"/>
      <c r="BN402" s="349"/>
      <c r="BO402" s="349"/>
      <c r="BP402" s="349"/>
      <c r="BQ402" s="349"/>
      <c r="BR402" s="349"/>
      <c r="BS402" s="349"/>
    </row>
    <row r="403" spans="1:71" x14ac:dyDescent="0.3">
      <c r="A403" s="349"/>
      <c r="B403" s="349"/>
      <c r="C403" s="349"/>
      <c r="D403" s="349"/>
      <c r="E403" s="349"/>
      <c r="F403" s="349"/>
      <c r="G403" s="349"/>
      <c r="H403" s="349"/>
      <c r="I403" s="349"/>
      <c r="J403" s="349"/>
      <c r="K403" s="349"/>
      <c r="L403" s="349"/>
      <c r="M403" s="349"/>
      <c r="N403" s="349"/>
      <c r="O403" s="349"/>
      <c r="P403" s="349"/>
      <c r="Q403" s="349"/>
      <c r="R403" s="349"/>
      <c r="S403" s="349"/>
      <c r="T403" s="349"/>
      <c r="U403" s="349"/>
      <c r="V403" s="349"/>
      <c r="W403" s="349"/>
      <c r="X403" s="349"/>
      <c r="Y403" s="349"/>
      <c r="Z403" s="349"/>
      <c r="AA403" s="349"/>
      <c r="AB403" s="349"/>
      <c r="AC403" s="349"/>
      <c r="AD403" s="349"/>
      <c r="AE403" s="349"/>
      <c r="AF403" s="349"/>
      <c r="AG403" s="349"/>
      <c r="AH403" s="349"/>
      <c r="AI403" s="349"/>
      <c r="AJ403" s="349"/>
      <c r="AK403" s="349"/>
      <c r="AL403" s="349"/>
      <c r="AM403" s="349"/>
      <c r="AN403" s="349"/>
      <c r="AO403" s="349"/>
      <c r="AP403" s="349"/>
      <c r="AQ403" s="349"/>
      <c r="AR403" s="349"/>
      <c r="AS403" s="349"/>
      <c r="AT403" s="349"/>
      <c r="AU403" s="349"/>
      <c r="AV403" s="349"/>
      <c r="AW403" s="349"/>
      <c r="AX403" s="349"/>
      <c r="AY403" s="349"/>
      <c r="AZ403" s="349"/>
      <c r="BA403" s="349"/>
      <c r="BB403" s="349"/>
      <c r="BC403" s="349"/>
      <c r="BD403" s="349"/>
      <c r="BE403" s="349"/>
      <c r="BF403" s="349"/>
      <c r="BG403" s="349"/>
      <c r="BH403" s="349"/>
      <c r="BI403" s="349"/>
      <c r="BJ403" s="349"/>
      <c r="BK403" s="349"/>
      <c r="BL403" s="349"/>
      <c r="BM403" s="349"/>
      <c r="BN403" s="349"/>
      <c r="BO403" s="349"/>
      <c r="BP403" s="349"/>
      <c r="BQ403" s="349"/>
      <c r="BR403" s="349"/>
      <c r="BS403" s="349"/>
    </row>
    <row r="404" spans="1:71" x14ac:dyDescent="0.3">
      <c r="A404" s="349"/>
      <c r="B404" s="349"/>
      <c r="C404" s="349"/>
      <c r="D404" s="349"/>
      <c r="E404" s="349"/>
      <c r="F404" s="349"/>
      <c r="G404" s="349"/>
      <c r="H404" s="349"/>
      <c r="I404" s="349"/>
      <c r="J404" s="349"/>
      <c r="K404" s="349"/>
      <c r="L404" s="349"/>
      <c r="M404" s="349"/>
      <c r="N404" s="349"/>
      <c r="O404" s="349"/>
      <c r="P404" s="349"/>
      <c r="Q404" s="349"/>
      <c r="R404" s="349"/>
      <c r="S404" s="349"/>
      <c r="T404" s="349"/>
      <c r="U404" s="349"/>
      <c r="V404" s="349"/>
      <c r="W404" s="349"/>
      <c r="X404" s="349"/>
      <c r="Y404" s="349"/>
      <c r="Z404" s="349"/>
      <c r="AA404" s="349"/>
      <c r="AB404" s="349"/>
      <c r="AC404" s="349"/>
      <c r="AD404" s="349"/>
      <c r="AE404" s="349"/>
      <c r="AF404" s="349"/>
      <c r="AG404" s="349"/>
      <c r="AH404" s="349"/>
      <c r="AI404" s="349"/>
      <c r="AJ404" s="349"/>
      <c r="AK404" s="349"/>
      <c r="AL404" s="349"/>
      <c r="AM404" s="349"/>
      <c r="AN404" s="349"/>
      <c r="AO404" s="349"/>
      <c r="AP404" s="349"/>
      <c r="AQ404" s="349"/>
      <c r="AR404" s="349"/>
      <c r="AS404" s="349"/>
      <c r="AT404" s="349"/>
      <c r="AU404" s="349"/>
      <c r="AV404" s="349"/>
      <c r="AW404" s="349"/>
      <c r="AX404" s="349"/>
      <c r="AY404" s="349"/>
      <c r="AZ404" s="349"/>
      <c r="BA404" s="349"/>
      <c r="BB404" s="349"/>
      <c r="BC404" s="349"/>
      <c r="BD404" s="349"/>
      <c r="BE404" s="349"/>
      <c r="BF404" s="349"/>
      <c r="BG404" s="349"/>
      <c r="BH404" s="349"/>
      <c r="BI404" s="349"/>
      <c r="BJ404" s="349"/>
      <c r="BK404" s="349"/>
      <c r="BL404" s="349"/>
      <c r="BM404" s="349"/>
      <c r="BN404" s="349"/>
      <c r="BO404" s="349"/>
      <c r="BP404" s="349"/>
      <c r="BQ404" s="349"/>
      <c r="BR404" s="349"/>
      <c r="BS404" s="349"/>
    </row>
    <row r="405" spans="1:71" x14ac:dyDescent="0.3">
      <c r="A405" s="349"/>
      <c r="B405" s="349"/>
      <c r="C405" s="349"/>
      <c r="D405" s="349"/>
      <c r="E405" s="349"/>
      <c r="F405" s="349"/>
      <c r="G405" s="349"/>
      <c r="H405" s="349"/>
      <c r="I405" s="349"/>
      <c r="J405" s="349"/>
      <c r="K405" s="349"/>
      <c r="L405" s="349"/>
      <c r="M405" s="349"/>
      <c r="N405" s="349"/>
      <c r="O405" s="349"/>
      <c r="P405" s="349"/>
      <c r="Q405" s="349"/>
      <c r="R405" s="349"/>
      <c r="S405" s="349"/>
      <c r="T405" s="349"/>
      <c r="U405" s="349"/>
      <c r="V405" s="349"/>
      <c r="W405" s="349"/>
      <c r="X405" s="349"/>
      <c r="Y405" s="349"/>
      <c r="Z405" s="349"/>
      <c r="AA405" s="349"/>
      <c r="AB405" s="349"/>
      <c r="AC405" s="349"/>
      <c r="AD405" s="349"/>
      <c r="AE405" s="349"/>
      <c r="AF405" s="349"/>
      <c r="AG405" s="349"/>
      <c r="AH405" s="349"/>
      <c r="AI405" s="349"/>
      <c r="AJ405" s="349"/>
      <c r="AK405" s="349"/>
      <c r="AL405" s="349"/>
      <c r="AM405" s="349"/>
      <c r="AN405" s="349"/>
      <c r="AO405" s="349"/>
      <c r="AP405" s="349"/>
      <c r="AQ405" s="349"/>
      <c r="AR405" s="349"/>
      <c r="AS405" s="349"/>
      <c r="AT405" s="349"/>
      <c r="AU405" s="349"/>
      <c r="AV405" s="349"/>
      <c r="AW405" s="349"/>
      <c r="AX405" s="349"/>
      <c r="AY405" s="349"/>
      <c r="AZ405" s="349"/>
      <c r="BA405" s="349"/>
      <c r="BB405" s="349"/>
      <c r="BC405" s="349"/>
      <c r="BD405" s="349"/>
      <c r="BE405" s="349"/>
      <c r="BF405" s="349"/>
      <c r="BG405" s="349"/>
      <c r="BH405" s="349"/>
      <c r="BI405" s="349"/>
      <c r="BJ405" s="349"/>
      <c r="BK405" s="349"/>
      <c r="BL405" s="349"/>
      <c r="BM405" s="349"/>
      <c r="BN405" s="349"/>
      <c r="BO405" s="349"/>
      <c r="BP405" s="349"/>
      <c r="BQ405" s="349"/>
      <c r="BR405" s="349"/>
      <c r="BS405" s="349"/>
    </row>
    <row r="406" spans="1:71" x14ac:dyDescent="0.3">
      <c r="A406" s="349"/>
      <c r="B406" s="349"/>
      <c r="C406" s="349"/>
      <c r="D406" s="349"/>
      <c r="E406" s="349"/>
      <c r="F406" s="349"/>
      <c r="G406" s="349"/>
      <c r="H406" s="349"/>
      <c r="I406" s="349"/>
      <c r="J406" s="349"/>
      <c r="K406" s="349"/>
      <c r="L406" s="349"/>
      <c r="M406" s="349"/>
      <c r="N406" s="349"/>
      <c r="O406" s="349"/>
      <c r="P406" s="349"/>
      <c r="Q406" s="349"/>
      <c r="R406" s="349"/>
      <c r="S406" s="349"/>
      <c r="T406" s="349"/>
      <c r="U406" s="349"/>
      <c r="V406" s="349"/>
      <c r="W406" s="349"/>
      <c r="X406" s="349"/>
      <c r="Y406" s="349"/>
      <c r="Z406" s="349"/>
      <c r="AA406" s="349"/>
      <c r="AB406" s="349"/>
      <c r="AC406" s="349"/>
      <c r="AD406" s="349"/>
      <c r="AE406" s="349"/>
      <c r="AF406" s="349"/>
      <c r="AG406" s="349"/>
      <c r="AH406" s="349"/>
      <c r="AI406" s="349"/>
      <c r="AJ406" s="349"/>
      <c r="AK406" s="349"/>
      <c r="AL406" s="349"/>
      <c r="AM406" s="349"/>
      <c r="AN406" s="349"/>
      <c r="AO406" s="349"/>
      <c r="AP406" s="349"/>
      <c r="AQ406" s="349"/>
      <c r="AR406" s="349"/>
      <c r="AS406" s="349"/>
      <c r="AT406" s="349"/>
      <c r="AU406" s="349"/>
      <c r="AV406" s="349"/>
      <c r="AW406" s="349"/>
      <c r="AX406" s="349"/>
      <c r="AY406" s="349"/>
      <c r="AZ406" s="349"/>
      <c r="BA406" s="349"/>
      <c r="BB406" s="349"/>
      <c r="BC406" s="349"/>
      <c r="BD406" s="349"/>
      <c r="BE406" s="349"/>
      <c r="BF406" s="349"/>
      <c r="BG406" s="349"/>
      <c r="BH406" s="349"/>
      <c r="BI406" s="349"/>
      <c r="BJ406" s="349"/>
      <c r="BK406" s="349"/>
      <c r="BL406" s="349"/>
      <c r="BM406" s="349"/>
      <c r="BN406" s="349"/>
      <c r="BO406" s="349"/>
      <c r="BP406" s="349"/>
      <c r="BQ406" s="349"/>
      <c r="BR406" s="349"/>
      <c r="BS406" s="349"/>
    </row>
    <row r="407" spans="1:71" x14ac:dyDescent="0.3">
      <c r="A407" s="349"/>
      <c r="B407" s="349"/>
      <c r="C407" s="349"/>
      <c r="D407" s="349"/>
      <c r="E407" s="349"/>
      <c r="F407" s="349"/>
      <c r="G407" s="349"/>
      <c r="H407" s="349"/>
      <c r="I407" s="349"/>
      <c r="J407" s="349"/>
      <c r="K407" s="349"/>
      <c r="L407" s="349"/>
      <c r="M407" s="349"/>
      <c r="N407" s="349"/>
      <c r="O407" s="349"/>
      <c r="P407" s="349"/>
      <c r="Q407" s="349"/>
      <c r="R407" s="349"/>
      <c r="S407" s="349"/>
      <c r="T407" s="349"/>
      <c r="U407" s="349"/>
      <c r="V407" s="349"/>
      <c r="W407" s="349"/>
      <c r="X407" s="349"/>
      <c r="Y407" s="349"/>
      <c r="Z407" s="349"/>
      <c r="AA407" s="349"/>
      <c r="AB407" s="349"/>
      <c r="AC407" s="349"/>
      <c r="AD407" s="349"/>
      <c r="AE407" s="349"/>
      <c r="AF407" s="349"/>
      <c r="AG407" s="349"/>
      <c r="AH407" s="349"/>
      <c r="AI407" s="349"/>
      <c r="AJ407" s="349"/>
      <c r="AK407" s="349"/>
      <c r="AL407" s="349"/>
      <c r="AM407" s="349"/>
      <c r="AN407" s="349"/>
      <c r="AO407" s="349"/>
      <c r="AP407" s="349"/>
      <c r="AQ407" s="349"/>
      <c r="AR407" s="349"/>
      <c r="AS407" s="349"/>
      <c r="AT407" s="349"/>
      <c r="AU407" s="349"/>
      <c r="AV407" s="349"/>
      <c r="AW407" s="349"/>
      <c r="AX407" s="349"/>
      <c r="AY407" s="349"/>
      <c r="AZ407" s="349"/>
      <c r="BA407" s="349"/>
      <c r="BB407" s="349"/>
      <c r="BC407" s="349"/>
      <c r="BD407" s="349"/>
      <c r="BE407" s="349"/>
      <c r="BF407" s="349"/>
      <c r="BG407" s="349"/>
      <c r="BH407" s="349"/>
      <c r="BI407" s="349"/>
      <c r="BJ407" s="349"/>
      <c r="BK407" s="349"/>
      <c r="BL407" s="349"/>
      <c r="BM407" s="349"/>
      <c r="BN407" s="349"/>
      <c r="BO407" s="349"/>
      <c r="BP407" s="349"/>
      <c r="BQ407" s="349"/>
      <c r="BR407" s="349"/>
      <c r="BS407" s="349"/>
    </row>
    <row r="408" spans="1:71" x14ac:dyDescent="0.3">
      <c r="A408" s="349"/>
      <c r="B408" s="349"/>
      <c r="C408" s="349"/>
      <c r="D408" s="349"/>
      <c r="E408" s="349"/>
      <c r="F408" s="349"/>
      <c r="G408" s="349"/>
      <c r="H408" s="349"/>
      <c r="I408" s="349"/>
      <c r="J408" s="349"/>
      <c r="K408" s="349"/>
      <c r="L408" s="349"/>
      <c r="M408" s="349"/>
      <c r="N408" s="349"/>
      <c r="O408" s="349"/>
      <c r="P408" s="349"/>
      <c r="Q408" s="349"/>
      <c r="R408" s="349"/>
      <c r="S408" s="349"/>
      <c r="T408" s="349"/>
      <c r="U408" s="349"/>
      <c r="V408" s="349"/>
      <c r="W408" s="349"/>
      <c r="X408" s="349"/>
      <c r="Y408" s="349"/>
      <c r="Z408" s="349"/>
      <c r="AA408" s="349"/>
      <c r="AB408" s="349"/>
      <c r="AC408" s="349"/>
      <c r="AD408" s="349"/>
      <c r="AE408" s="349"/>
      <c r="AF408" s="349"/>
      <c r="AG408" s="349"/>
      <c r="AH408" s="349"/>
      <c r="AI408" s="349"/>
      <c r="AJ408" s="349"/>
      <c r="AK408" s="349"/>
      <c r="AL408" s="349"/>
      <c r="AM408" s="349"/>
      <c r="AN408" s="349"/>
      <c r="AO408" s="349"/>
      <c r="AP408" s="349"/>
      <c r="AQ408" s="349"/>
      <c r="AR408" s="349"/>
      <c r="AS408" s="349"/>
      <c r="AT408" s="349"/>
      <c r="AU408" s="349"/>
      <c r="AV408" s="349"/>
      <c r="AW408" s="349"/>
      <c r="AX408" s="349"/>
      <c r="AY408" s="349"/>
      <c r="AZ408" s="349"/>
      <c r="BA408" s="349"/>
      <c r="BB408" s="349"/>
      <c r="BC408" s="349"/>
      <c r="BD408" s="349"/>
      <c r="BE408" s="349"/>
      <c r="BF408" s="349"/>
      <c r="BG408" s="349"/>
      <c r="BH408" s="349"/>
      <c r="BI408" s="349"/>
      <c r="BJ408" s="349"/>
      <c r="BK408" s="349"/>
      <c r="BL408" s="349"/>
      <c r="BM408" s="349"/>
      <c r="BN408" s="349"/>
      <c r="BO408" s="349"/>
      <c r="BP408" s="349"/>
      <c r="BQ408" s="349"/>
      <c r="BR408" s="349"/>
      <c r="BS408" s="349"/>
    </row>
    <row r="409" spans="1:71" x14ac:dyDescent="0.3">
      <c r="A409" s="349"/>
      <c r="B409" s="349"/>
      <c r="C409" s="349"/>
      <c r="D409" s="349"/>
      <c r="E409" s="349"/>
      <c r="F409" s="349"/>
      <c r="G409" s="349"/>
      <c r="H409" s="349"/>
      <c r="I409" s="349"/>
      <c r="J409" s="349"/>
      <c r="K409" s="349"/>
      <c r="L409" s="349"/>
      <c r="M409" s="349"/>
      <c r="N409" s="349"/>
      <c r="O409" s="349"/>
      <c r="P409" s="349"/>
      <c r="Q409" s="349"/>
      <c r="R409" s="349"/>
      <c r="S409" s="349"/>
      <c r="T409" s="349"/>
      <c r="U409" s="349"/>
      <c r="V409" s="349"/>
      <c r="W409" s="349"/>
      <c r="X409" s="349"/>
      <c r="Y409" s="349"/>
      <c r="Z409" s="349"/>
      <c r="AA409" s="349"/>
      <c r="AB409" s="349"/>
      <c r="AC409" s="349"/>
      <c r="AD409" s="349"/>
      <c r="AE409" s="349"/>
      <c r="AF409" s="349"/>
      <c r="AG409" s="349"/>
      <c r="AH409" s="349"/>
      <c r="AI409" s="349"/>
      <c r="AJ409" s="349"/>
      <c r="AK409" s="349"/>
      <c r="AL409" s="349"/>
      <c r="AM409" s="349"/>
      <c r="AN409" s="349"/>
      <c r="AO409" s="349"/>
      <c r="AP409" s="349"/>
      <c r="AQ409" s="349"/>
      <c r="AR409" s="349"/>
      <c r="AS409" s="349"/>
      <c r="AT409" s="349"/>
      <c r="AU409" s="349"/>
      <c r="AV409" s="349"/>
      <c r="AW409" s="349"/>
      <c r="AX409" s="349"/>
      <c r="AY409" s="349"/>
      <c r="AZ409" s="349"/>
      <c r="BA409" s="349"/>
      <c r="BB409" s="349"/>
      <c r="BC409" s="349"/>
      <c r="BD409" s="349"/>
      <c r="BE409" s="349"/>
      <c r="BF409" s="349"/>
      <c r="BG409" s="349"/>
      <c r="BH409" s="349"/>
      <c r="BI409" s="349"/>
      <c r="BJ409" s="349"/>
      <c r="BK409" s="349"/>
      <c r="BL409" s="349"/>
      <c r="BM409" s="349"/>
      <c r="BN409" s="349"/>
      <c r="BO409" s="349"/>
      <c r="BP409" s="349"/>
      <c r="BQ409" s="349"/>
      <c r="BR409" s="349"/>
      <c r="BS409" s="349"/>
    </row>
    <row r="410" spans="1:71" x14ac:dyDescent="0.3">
      <c r="A410" s="349"/>
      <c r="B410" s="349"/>
      <c r="C410" s="349"/>
      <c r="D410" s="349"/>
      <c r="E410" s="349"/>
      <c r="F410" s="349"/>
      <c r="G410" s="349"/>
      <c r="H410" s="349"/>
      <c r="I410" s="349"/>
      <c r="J410" s="349"/>
      <c r="K410" s="349"/>
      <c r="L410" s="349"/>
      <c r="M410" s="349"/>
      <c r="N410" s="349"/>
      <c r="O410" s="349"/>
      <c r="P410" s="349"/>
      <c r="Q410" s="349"/>
      <c r="R410" s="349"/>
      <c r="S410" s="349"/>
      <c r="T410" s="349"/>
      <c r="U410" s="349"/>
      <c r="V410" s="349"/>
      <c r="W410" s="349"/>
      <c r="X410" s="349"/>
      <c r="Y410" s="349"/>
      <c r="Z410" s="349"/>
      <c r="AA410" s="349"/>
      <c r="AB410" s="349"/>
      <c r="AC410" s="349"/>
      <c r="AD410" s="349"/>
      <c r="AE410" s="349"/>
      <c r="AF410" s="349"/>
      <c r="AG410" s="349"/>
      <c r="AH410" s="349"/>
      <c r="AI410" s="349"/>
      <c r="AJ410" s="349"/>
      <c r="AK410" s="349"/>
      <c r="AL410" s="349"/>
      <c r="AM410" s="349"/>
      <c r="AN410" s="349"/>
      <c r="AO410" s="349"/>
      <c r="AP410" s="349"/>
      <c r="AQ410" s="349"/>
      <c r="AR410" s="349"/>
      <c r="AS410" s="349"/>
      <c r="AT410" s="349"/>
      <c r="AU410" s="349"/>
      <c r="AV410" s="349"/>
      <c r="AW410" s="349"/>
      <c r="AX410" s="349"/>
      <c r="AY410" s="349"/>
      <c r="AZ410" s="349"/>
      <c r="BA410" s="349"/>
      <c r="BB410" s="349"/>
      <c r="BC410" s="349"/>
      <c r="BD410" s="349"/>
      <c r="BE410" s="349"/>
      <c r="BF410" s="349"/>
      <c r="BG410" s="349"/>
      <c r="BH410" s="349"/>
      <c r="BI410" s="349"/>
      <c r="BJ410" s="349"/>
      <c r="BK410" s="349"/>
      <c r="BL410" s="349"/>
      <c r="BM410" s="349"/>
      <c r="BN410" s="349"/>
      <c r="BO410" s="349"/>
      <c r="BP410" s="349"/>
      <c r="BQ410" s="349"/>
      <c r="BR410" s="349"/>
      <c r="BS410" s="349"/>
    </row>
    <row r="411" spans="1:71" x14ac:dyDescent="0.3">
      <c r="A411" s="349"/>
      <c r="B411" s="349"/>
      <c r="C411" s="349"/>
      <c r="D411" s="349"/>
      <c r="E411" s="349"/>
      <c r="F411" s="349"/>
      <c r="G411" s="349"/>
      <c r="H411" s="349"/>
      <c r="I411" s="349"/>
      <c r="J411" s="349"/>
      <c r="K411" s="349"/>
      <c r="L411" s="349"/>
      <c r="M411" s="349"/>
      <c r="N411" s="349"/>
      <c r="O411" s="349"/>
      <c r="P411" s="349"/>
      <c r="Q411" s="349"/>
      <c r="R411" s="349"/>
      <c r="S411" s="349"/>
      <c r="T411" s="349"/>
      <c r="U411" s="349"/>
      <c r="V411" s="349"/>
      <c r="W411" s="349"/>
      <c r="X411" s="349"/>
      <c r="Y411" s="349"/>
      <c r="Z411" s="349"/>
      <c r="AA411" s="349"/>
      <c r="AB411" s="349"/>
      <c r="AC411" s="349"/>
      <c r="AD411" s="349"/>
      <c r="AE411" s="349"/>
      <c r="AF411" s="349"/>
      <c r="AG411" s="349"/>
      <c r="AH411" s="349"/>
      <c r="AI411" s="349"/>
      <c r="AJ411" s="349"/>
      <c r="AK411" s="349"/>
      <c r="AL411" s="349"/>
      <c r="AM411" s="349"/>
      <c r="AN411" s="349"/>
      <c r="AO411" s="349"/>
      <c r="AP411" s="349"/>
      <c r="AQ411" s="349"/>
      <c r="AR411" s="349"/>
      <c r="AS411" s="349"/>
      <c r="AT411" s="349"/>
      <c r="AU411" s="349"/>
      <c r="AV411" s="349"/>
      <c r="AW411" s="349"/>
      <c r="AX411" s="349"/>
      <c r="AY411" s="349"/>
      <c r="AZ411" s="349"/>
      <c r="BA411" s="349"/>
      <c r="BB411" s="349"/>
      <c r="BC411" s="349"/>
      <c r="BD411" s="349"/>
      <c r="BE411" s="349"/>
      <c r="BF411" s="349"/>
      <c r="BG411" s="349"/>
      <c r="BH411" s="349"/>
      <c r="BI411" s="349"/>
      <c r="BJ411" s="349"/>
      <c r="BK411" s="349"/>
      <c r="BL411" s="349"/>
      <c r="BM411" s="349"/>
      <c r="BN411" s="349"/>
      <c r="BO411" s="349"/>
      <c r="BP411" s="349"/>
      <c r="BQ411" s="349"/>
      <c r="BR411" s="349"/>
      <c r="BS411" s="349"/>
    </row>
    <row r="412" spans="1:71" x14ac:dyDescent="0.3">
      <c r="A412" s="349"/>
      <c r="B412" s="349"/>
      <c r="C412" s="349"/>
      <c r="D412" s="349"/>
      <c r="E412" s="349"/>
      <c r="F412" s="349"/>
      <c r="G412" s="349"/>
      <c r="H412" s="349"/>
      <c r="I412" s="349"/>
      <c r="J412" s="349"/>
      <c r="K412" s="349"/>
      <c r="L412" s="349"/>
      <c r="M412" s="349"/>
      <c r="N412" s="349"/>
      <c r="O412" s="349"/>
      <c r="P412" s="349"/>
      <c r="Q412" s="349"/>
      <c r="R412" s="349"/>
      <c r="S412" s="349"/>
      <c r="T412" s="349"/>
      <c r="U412" s="349"/>
      <c r="V412" s="349"/>
      <c r="W412" s="349"/>
      <c r="X412" s="349"/>
      <c r="Y412" s="349"/>
      <c r="Z412" s="349"/>
      <c r="AA412" s="349"/>
      <c r="AB412" s="349"/>
      <c r="AC412" s="349"/>
      <c r="AD412" s="349"/>
      <c r="AE412" s="349"/>
      <c r="AF412" s="349"/>
      <c r="AG412" s="349"/>
      <c r="AH412" s="349"/>
      <c r="AI412" s="349"/>
      <c r="AJ412" s="349"/>
      <c r="AK412" s="349"/>
      <c r="AL412" s="349"/>
      <c r="AM412" s="349"/>
      <c r="AN412" s="349"/>
      <c r="AO412" s="349"/>
      <c r="AP412" s="349"/>
      <c r="AQ412" s="349"/>
      <c r="AR412" s="349"/>
      <c r="AS412" s="349"/>
      <c r="AT412" s="349"/>
      <c r="AU412" s="349"/>
      <c r="AV412" s="349"/>
      <c r="AW412" s="349"/>
      <c r="AX412" s="349"/>
      <c r="AY412" s="349"/>
      <c r="AZ412" s="349"/>
      <c r="BA412" s="349"/>
      <c r="BB412" s="349"/>
      <c r="BC412" s="349"/>
      <c r="BD412" s="349"/>
      <c r="BE412" s="349"/>
      <c r="BF412" s="349"/>
      <c r="BG412" s="349"/>
      <c r="BH412" s="349"/>
      <c r="BI412" s="349"/>
      <c r="BJ412" s="349"/>
      <c r="BK412" s="349"/>
      <c r="BL412" s="349"/>
      <c r="BM412" s="349"/>
      <c r="BN412" s="349"/>
      <c r="BO412" s="349"/>
      <c r="BP412" s="349"/>
      <c r="BQ412" s="349"/>
      <c r="BR412" s="349"/>
      <c r="BS412" s="349"/>
    </row>
    <row r="413" spans="1:71" x14ac:dyDescent="0.3">
      <c r="A413" s="349"/>
      <c r="B413" s="349"/>
      <c r="C413" s="349"/>
      <c r="D413" s="349"/>
      <c r="E413" s="349"/>
      <c r="F413" s="349"/>
      <c r="G413" s="349"/>
      <c r="H413" s="349"/>
      <c r="I413" s="349"/>
      <c r="J413" s="349"/>
      <c r="K413" s="349"/>
      <c r="L413" s="349"/>
      <c r="M413" s="349"/>
      <c r="N413" s="349"/>
      <c r="O413" s="349"/>
      <c r="P413" s="349"/>
      <c r="Q413" s="349"/>
      <c r="R413" s="349"/>
      <c r="S413" s="349"/>
      <c r="T413" s="349"/>
      <c r="U413" s="349"/>
      <c r="V413" s="349"/>
      <c r="W413" s="349"/>
      <c r="X413" s="349"/>
      <c r="Y413" s="349"/>
      <c r="Z413" s="349"/>
      <c r="AA413" s="349"/>
      <c r="AB413" s="349"/>
      <c r="AC413" s="349"/>
      <c r="AD413" s="349"/>
      <c r="AE413" s="349"/>
      <c r="AF413" s="349"/>
      <c r="AG413" s="349"/>
      <c r="AH413" s="349"/>
      <c r="AI413" s="349"/>
      <c r="AJ413" s="349"/>
      <c r="AK413" s="349"/>
      <c r="AL413" s="349"/>
      <c r="AM413" s="349"/>
      <c r="AN413" s="349"/>
      <c r="AO413" s="349"/>
      <c r="AP413" s="349"/>
      <c r="AQ413" s="349"/>
      <c r="AR413" s="349"/>
      <c r="AS413" s="349"/>
      <c r="AT413" s="349"/>
      <c r="AU413" s="349"/>
      <c r="AV413" s="349"/>
      <c r="AW413" s="349"/>
      <c r="AX413" s="349"/>
      <c r="AY413" s="349"/>
      <c r="AZ413" s="349"/>
      <c r="BA413" s="349"/>
      <c r="BB413" s="349"/>
      <c r="BC413" s="349"/>
      <c r="BD413" s="349"/>
      <c r="BE413" s="349"/>
      <c r="BF413" s="349"/>
      <c r="BG413" s="349"/>
      <c r="BH413" s="349"/>
      <c r="BI413" s="349"/>
      <c r="BJ413" s="349"/>
      <c r="BK413" s="349"/>
      <c r="BL413" s="349"/>
      <c r="BM413" s="349"/>
      <c r="BN413" s="349"/>
      <c r="BO413" s="349"/>
      <c r="BP413" s="349"/>
      <c r="BQ413" s="349"/>
      <c r="BR413" s="349"/>
      <c r="BS413" s="349"/>
    </row>
    <row r="414" spans="1:71" x14ac:dyDescent="0.3">
      <c r="A414" s="349"/>
      <c r="B414" s="349"/>
      <c r="C414" s="349"/>
      <c r="D414" s="349"/>
      <c r="E414" s="349"/>
      <c r="F414" s="349"/>
      <c r="G414" s="349"/>
      <c r="H414" s="349"/>
      <c r="I414" s="349"/>
      <c r="J414" s="349"/>
      <c r="K414" s="349"/>
      <c r="L414" s="349"/>
      <c r="M414" s="349"/>
      <c r="N414" s="349"/>
      <c r="O414" s="349"/>
      <c r="P414" s="349"/>
      <c r="Q414" s="349"/>
      <c r="R414" s="349"/>
      <c r="S414" s="349"/>
      <c r="T414" s="349"/>
      <c r="U414" s="349"/>
      <c r="V414" s="349"/>
      <c r="W414" s="349"/>
      <c r="X414" s="349"/>
      <c r="Y414" s="349"/>
      <c r="Z414" s="349"/>
      <c r="AA414" s="349"/>
      <c r="AB414" s="349"/>
      <c r="AC414" s="349"/>
      <c r="AD414" s="349"/>
      <c r="AE414" s="349"/>
      <c r="AF414" s="349"/>
      <c r="AG414" s="349"/>
      <c r="AH414" s="349"/>
      <c r="AI414" s="349"/>
      <c r="AJ414" s="349"/>
      <c r="AK414" s="349"/>
      <c r="AL414" s="349"/>
      <c r="AM414" s="349"/>
      <c r="AN414" s="349"/>
      <c r="AO414" s="349"/>
      <c r="AP414" s="349"/>
      <c r="AQ414" s="349"/>
      <c r="AR414" s="349"/>
      <c r="AS414" s="349"/>
      <c r="AT414" s="349"/>
      <c r="AU414" s="349"/>
      <c r="AV414" s="349"/>
      <c r="AW414" s="349"/>
      <c r="AX414" s="349"/>
      <c r="AY414" s="349"/>
      <c r="AZ414" s="349"/>
      <c r="BA414" s="349"/>
      <c r="BB414" s="349"/>
      <c r="BC414" s="349"/>
      <c r="BD414" s="349"/>
      <c r="BE414" s="349"/>
      <c r="BF414" s="349"/>
      <c r="BG414" s="349"/>
      <c r="BH414" s="349"/>
      <c r="BI414" s="349"/>
      <c r="BJ414" s="349"/>
      <c r="BK414" s="349"/>
      <c r="BL414" s="349"/>
      <c r="BM414" s="349"/>
      <c r="BN414" s="349"/>
      <c r="BO414" s="349"/>
      <c r="BP414" s="349"/>
      <c r="BQ414" s="349"/>
      <c r="BR414" s="349"/>
      <c r="BS414" s="349"/>
    </row>
    <row r="415" spans="1:71" x14ac:dyDescent="0.3">
      <c r="A415" s="349"/>
      <c r="B415" s="349"/>
      <c r="C415" s="349"/>
      <c r="D415" s="349"/>
      <c r="E415" s="349"/>
      <c r="F415" s="349"/>
      <c r="G415" s="349"/>
      <c r="H415" s="349"/>
      <c r="I415" s="349"/>
      <c r="J415" s="349"/>
      <c r="K415" s="349"/>
      <c r="L415" s="349"/>
      <c r="M415" s="349"/>
      <c r="N415" s="349"/>
      <c r="O415" s="349"/>
      <c r="P415" s="349"/>
      <c r="Q415" s="349"/>
      <c r="R415" s="349"/>
      <c r="S415" s="349"/>
      <c r="T415" s="349"/>
      <c r="U415" s="349"/>
      <c r="V415" s="349"/>
      <c r="W415" s="349"/>
      <c r="X415" s="349"/>
      <c r="Y415" s="349"/>
      <c r="Z415" s="349"/>
      <c r="AA415" s="349"/>
      <c r="AB415" s="349"/>
      <c r="AC415" s="349"/>
      <c r="AD415" s="349"/>
      <c r="AE415" s="349"/>
      <c r="AF415" s="349"/>
      <c r="AG415" s="349"/>
      <c r="AH415" s="349"/>
      <c r="AI415" s="349"/>
      <c r="AJ415" s="349"/>
      <c r="AK415" s="349"/>
      <c r="AL415" s="349"/>
      <c r="AM415" s="349"/>
      <c r="AN415" s="349"/>
      <c r="AO415" s="349"/>
      <c r="AP415" s="349"/>
      <c r="AQ415" s="349"/>
      <c r="AR415" s="349"/>
      <c r="AS415" s="349"/>
      <c r="AT415" s="349"/>
      <c r="AU415" s="349"/>
      <c r="AV415" s="349"/>
      <c r="AW415" s="349"/>
      <c r="AX415" s="349"/>
      <c r="AY415" s="349"/>
      <c r="AZ415" s="349"/>
      <c r="BA415" s="349"/>
      <c r="BB415" s="349"/>
      <c r="BC415" s="349"/>
      <c r="BD415" s="349"/>
      <c r="BE415" s="349"/>
      <c r="BF415" s="349"/>
      <c r="BG415" s="349"/>
      <c r="BH415" s="349"/>
      <c r="BI415" s="349"/>
      <c r="BJ415" s="349"/>
      <c r="BK415" s="349"/>
      <c r="BL415" s="349"/>
      <c r="BM415" s="349"/>
      <c r="BN415" s="349"/>
      <c r="BO415" s="349"/>
      <c r="BP415" s="349"/>
      <c r="BQ415" s="349"/>
      <c r="BR415" s="349"/>
      <c r="BS415" s="349"/>
    </row>
    <row r="416" spans="1:71" x14ac:dyDescent="0.3">
      <c r="A416" s="349"/>
      <c r="B416" s="349"/>
      <c r="C416" s="349"/>
      <c r="D416" s="349"/>
      <c r="E416" s="349"/>
      <c r="F416" s="349"/>
      <c r="G416" s="349"/>
      <c r="H416" s="349"/>
      <c r="I416" s="349"/>
      <c r="J416" s="349"/>
      <c r="K416" s="349"/>
      <c r="L416" s="349"/>
      <c r="M416" s="349"/>
      <c r="N416" s="349"/>
      <c r="O416" s="349"/>
      <c r="P416" s="349"/>
      <c r="Q416" s="349"/>
      <c r="R416" s="349"/>
      <c r="S416" s="349"/>
      <c r="T416" s="349"/>
      <c r="U416" s="349"/>
      <c r="V416" s="349"/>
      <c r="W416" s="349"/>
      <c r="X416" s="349"/>
      <c r="Y416" s="349"/>
      <c r="Z416" s="349"/>
      <c r="AA416" s="349"/>
      <c r="AB416" s="349"/>
      <c r="AC416" s="349"/>
      <c r="AD416" s="349"/>
      <c r="AE416" s="349"/>
      <c r="AF416" s="349"/>
      <c r="AG416" s="349"/>
      <c r="AH416" s="349"/>
      <c r="AI416" s="349"/>
      <c r="AJ416" s="349"/>
      <c r="AK416" s="349"/>
      <c r="AL416" s="349"/>
      <c r="AM416" s="349"/>
      <c r="AN416" s="349"/>
      <c r="AO416" s="349"/>
      <c r="AP416" s="349"/>
      <c r="AQ416" s="349"/>
      <c r="AR416" s="349"/>
      <c r="AS416" s="349"/>
      <c r="AT416" s="349"/>
      <c r="AU416" s="349"/>
      <c r="AV416" s="349"/>
      <c r="AW416" s="349"/>
      <c r="AX416" s="349"/>
      <c r="AY416" s="349"/>
      <c r="AZ416" s="349"/>
      <c r="BA416" s="349"/>
      <c r="BB416" s="349"/>
      <c r="BC416" s="349"/>
      <c r="BD416" s="349"/>
      <c r="BE416" s="349"/>
      <c r="BF416" s="349"/>
      <c r="BG416" s="349"/>
      <c r="BH416" s="349"/>
      <c r="BI416" s="349"/>
      <c r="BJ416" s="349"/>
      <c r="BK416" s="349"/>
      <c r="BL416" s="349"/>
      <c r="BM416" s="349"/>
      <c r="BN416" s="349"/>
      <c r="BO416" s="349"/>
      <c r="BP416" s="349"/>
      <c r="BQ416" s="349"/>
      <c r="BR416" s="349"/>
      <c r="BS416" s="349"/>
    </row>
    <row r="417" spans="1:71" x14ac:dyDescent="0.3">
      <c r="A417" s="349"/>
      <c r="B417" s="349"/>
      <c r="C417" s="349"/>
      <c r="D417" s="349"/>
      <c r="E417" s="349"/>
      <c r="F417" s="349"/>
      <c r="G417" s="349"/>
      <c r="H417" s="349"/>
      <c r="I417" s="349"/>
      <c r="J417" s="349"/>
      <c r="K417" s="349"/>
      <c r="L417" s="349"/>
      <c r="M417" s="349"/>
      <c r="N417" s="349"/>
      <c r="O417" s="349"/>
      <c r="P417" s="349"/>
      <c r="Q417" s="349"/>
      <c r="R417" s="349"/>
      <c r="S417" s="349"/>
      <c r="T417" s="349"/>
      <c r="U417" s="349"/>
      <c r="V417" s="349"/>
      <c r="W417" s="349"/>
      <c r="X417" s="349"/>
      <c r="Y417" s="349"/>
      <c r="Z417" s="349"/>
      <c r="AA417" s="349"/>
      <c r="AB417" s="349"/>
      <c r="AC417" s="349"/>
      <c r="AD417" s="349"/>
      <c r="AE417" s="349"/>
      <c r="AF417" s="349"/>
      <c r="AG417" s="349"/>
      <c r="AH417" s="349"/>
      <c r="AI417" s="349"/>
      <c r="AJ417" s="349"/>
      <c r="AK417" s="349"/>
      <c r="AL417" s="349"/>
      <c r="AM417" s="349"/>
      <c r="AN417" s="349"/>
      <c r="AO417" s="349"/>
      <c r="AP417" s="349"/>
      <c r="AQ417" s="349"/>
      <c r="AR417" s="349"/>
      <c r="AS417" s="349"/>
      <c r="AT417" s="349"/>
      <c r="AU417" s="349"/>
      <c r="AV417" s="349"/>
      <c r="AW417" s="349"/>
      <c r="AX417" s="349"/>
      <c r="AY417" s="349"/>
      <c r="AZ417" s="349"/>
      <c r="BA417" s="349"/>
      <c r="BB417" s="349"/>
      <c r="BC417" s="349"/>
      <c r="BD417" s="349"/>
      <c r="BE417" s="349"/>
      <c r="BF417" s="349"/>
      <c r="BG417" s="349"/>
      <c r="BH417" s="349"/>
      <c r="BI417" s="349"/>
      <c r="BJ417" s="349"/>
      <c r="BK417" s="349"/>
      <c r="BL417" s="349"/>
      <c r="BM417" s="349"/>
      <c r="BN417" s="349"/>
      <c r="BO417" s="349"/>
      <c r="BP417" s="349"/>
      <c r="BQ417" s="349"/>
      <c r="BR417" s="349"/>
      <c r="BS417" s="349"/>
    </row>
    <row r="418" spans="1:71" x14ac:dyDescent="0.3">
      <c r="A418" s="349"/>
      <c r="B418" s="349"/>
      <c r="C418" s="349"/>
      <c r="D418" s="349"/>
      <c r="E418" s="349"/>
      <c r="F418" s="349"/>
      <c r="G418" s="349"/>
      <c r="H418" s="349"/>
      <c r="I418" s="349"/>
      <c r="J418" s="349"/>
      <c r="K418" s="349"/>
      <c r="L418" s="349"/>
      <c r="M418" s="349"/>
      <c r="N418" s="349"/>
      <c r="O418" s="349"/>
      <c r="P418" s="349"/>
      <c r="Q418" s="349"/>
      <c r="R418" s="349"/>
      <c r="S418" s="349"/>
      <c r="T418" s="349"/>
      <c r="U418" s="349"/>
      <c r="V418" s="349"/>
      <c r="W418" s="349"/>
      <c r="X418" s="349"/>
      <c r="Y418" s="349"/>
      <c r="Z418" s="349"/>
      <c r="AA418" s="349"/>
      <c r="AB418" s="349"/>
      <c r="AC418" s="349"/>
      <c r="AD418" s="349"/>
      <c r="AE418" s="349"/>
      <c r="AF418" s="349"/>
      <c r="AG418" s="349"/>
      <c r="AH418" s="349"/>
      <c r="AI418" s="349"/>
      <c r="AJ418" s="349"/>
      <c r="AK418" s="349"/>
      <c r="AL418" s="349"/>
      <c r="AM418" s="349"/>
      <c r="AN418" s="349"/>
      <c r="AO418" s="349"/>
      <c r="AP418" s="349"/>
      <c r="AQ418" s="349"/>
      <c r="AR418" s="349"/>
      <c r="AS418" s="349"/>
      <c r="AT418" s="349"/>
      <c r="AU418" s="349"/>
      <c r="AV418" s="349"/>
      <c r="AW418" s="349"/>
      <c r="AX418" s="349"/>
      <c r="AY418" s="349"/>
      <c r="AZ418" s="349"/>
      <c r="BA418" s="349"/>
      <c r="BB418" s="349"/>
      <c r="BC418" s="349"/>
      <c r="BD418" s="349"/>
      <c r="BE418" s="349"/>
      <c r="BF418" s="349"/>
      <c r="BG418" s="349"/>
      <c r="BH418" s="349"/>
      <c r="BI418" s="349"/>
      <c r="BJ418" s="349"/>
      <c r="BK418" s="349"/>
      <c r="BL418" s="349"/>
      <c r="BM418" s="349"/>
      <c r="BN418" s="349"/>
      <c r="BO418" s="349"/>
      <c r="BP418" s="349"/>
      <c r="BQ418" s="349"/>
      <c r="BR418" s="349"/>
      <c r="BS418" s="349"/>
    </row>
    <row r="419" spans="1:71" x14ac:dyDescent="0.3">
      <c r="A419" s="349"/>
      <c r="B419" s="349"/>
      <c r="C419" s="349"/>
      <c r="D419" s="349"/>
      <c r="E419" s="349"/>
      <c r="F419" s="349"/>
      <c r="G419" s="349"/>
      <c r="H419" s="349"/>
      <c r="I419" s="349"/>
      <c r="J419" s="349"/>
      <c r="K419" s="349"/>
      <c r="L419" s="349"/>
      <c r="M419" s="349"/>
      <c r="N419" s="349"/>
      <c r="O419" s="349"/>
      <c r="P419" s="349"/>
      <c r="Q419" s="349"/>
      <c r="R419" s="349"/>
      <c r="S419" s="349"/>
      <c r="T419" s="349"/>
      <c r="U419" s="349"/>
      <c r="V419" s="349"/>
      <c r="W419" s="349"/>
      <c r="X419" s="349"/>
      <c r="Y419" s="349"/>
      <c r="Z419" s="349"/>
      <c r="AA419" s="349"/>
      <c r="AB419" s="349"/>
      <c r="AC419" s="349"/>
      <c r="AD419" s="349"/>
      <c r="AE419" s="349"/>
      <c r="AF419" s="349"/>
      <c r="AG419" s="349"/>
      <c r="AH419" s="349"/>
      <c r="AI419" s="349"/>
      <c r="AJ419" s="349"/>
      <c r="AK419" s="349"/>
      <c r="AL419" s="349"/>
      <c r="AM419" s="349"/>
      <c r="AN419" s="349"/>
      <c r="AO419" s="349"/>
      <c r="AP419" s="349"/>
      <c r="AQ419" s="349"/>
      <c r="AR419" s="349"/>
      <c r="AS419" s="349"/>
      <c r="AT419" s="349"/>
      <c r="AU419" s="349"/>
      <c r="AV419" s="349"/>
      <c r="AW419" s="349"/>
      <c r="AX419" s="349"/>
      <c r="AY419" s="349"/>
      <c r="AZ419" s="349"/>
      <c r="BA419" s="349"/>
      <c r="BB419" s="349"/>
      <c r="BC419" s="349"/>
      <c r="BD419" s="349"/>
      <c r="BE419" s="349"/>
      <c r="BF419" s="349"/>
      <c r="BG419" s="349"/>
      <c r="BH419" s="349"/>
      <c r="BI419" s="349"/>
      <c r="BJ419" s="349"/>
      <c r="BK419" s="349"/>
      <c r="BL419" s="349"/>
      <c r="BM419" s="349"/>
      <c r="BN419" s="349"/>
      <c r="BO419" s="349"/>
      <c r="BP419" s="349"/>
      <c r="BQ419" s="349"/>
      <c r="BR419" s="349"/>
      <c r="BS419" s="349"/>
    </row>
    <row r="420" spans="1:71" x14ac:dyDescent="0.3">
      <c r="A420" s="349"/>
      <c r="B420" s="349"/>
      <c r="C420" s="349"/>
      <c r="D420" s="349"/>
      <c r="E420" s="349"/>
      <c r="F420" s="349"/>
      <c r="G420" s="349"/>
      <c r="H420" s="349"/>
      <c r="I420" s="349"/>
      <c r="J420" s="349"/>
      <c r="K420" s="349"/>
      <c r="L420" s="349"/>
      <c r="M420" s="349"/>
      <c r="N420" s="349"/>
      <c r="O420" s="349"/>
      <c r="P420" s="349"/>
      <c r="Q420" s="349"/>
      <c r="R420" s="349"/>
      <c r="S420" s="349"/>
      <c r="T420" s="349"/>
      <c r="U420" s="349"/>
      <c r="V420" s="349"/>
      <c r="W420" s="349"/>
      <c r="X420" s="349"/>
      <c r="Y420" s="349"/>
      <c r="Z420" s="349"/>
      <c r="AA420" s="349"/>
      <c r="AB420" s="349"/>
      <c r="AC420" s="349"/>
      <c r="AD420" s="349"/>
      <c r="AE420" s="349"/>
      <c r="AF420" s="349"/>
      <c r="AG420" s="349"/>
      <c r="AH420" s="349"/>
      <c r="AI420" s="349"/>
      <c r="AJ420" s="349"/>
      <c r="AK420" s="349"/>
      <c r="AL420" s="349"/>
      <c r="AM420" s="349"/>
      <c r="AN420" s="349"/>
      <c r="AO420" s="349"/>
      <c r="AP420" s="349"/>
      <c r="AQ420" s="349"/>
      <c r="AR420" s="349"/>
      <c r="AS420" s="349"/>
      <c r="AT420" s="349"/>
      <c r="AU420" s="349"/>
      <c r="AV420" s="349"/>
      <c r="AW420" s="349"/>
      <c r="AX420" s="349"/>
      <c r="AY420" s="349"/>
      <c r="AZ420" s="349"/>
      <c r="BA420" s="349"/>
      <c r="BB420" s="349"/>
      <c r="BC420" s="349"/>
      <c r="BD420" s="349"/>
      <c r="BE420" s="349"/>
      <c r="BF420" s="349"/>
      <c r="BG420" s="349"/>
      <c r="BH420" s="349"/>
      <c r="BI420" s="349"/>
      <c r="BJ420" s="349"/>
      <c r="BK420" s="349"/>
      <c r="BL420" s="349"/>
      <c r="BM420" s="349"/>
      <c r="BN420" s="349"/>
      <c r="BO420" s="349"/>
      <c r="BP420" s="349"/>
      <c r="BQ420" s="349"/>
      <c r="BR420" s="349"/>
      <c r="BS420" s="349"/>
    </row>
    <row r="421" spans="1:71" x14ac:dyDescent="0.3">
      <c r="A421" s="349"/>
      <c r="B421" s="349"/>
      <c r="C421" s="349"/>
      <c r="D421" s="349"/>
      <c r="E421" s="349"/>
      <c r="F421" s="349"/>
      <c r="G421" s="349"/>
      <c r="H421" s="349"/>
      <c r="I421" s="349"/>
      <c r="J421" s="349"/>
      <c r="K421" s="349"/>
      <c r="L421" s="349"/>
      <c r="M421" s="349"/>
      <c r="N421" s="349"/>
      <c r="O421" s="349"/>
      <c r="P421" s="349"/>
      <c r="Q421" s="349"/>
      <c r="R421" s="349"/>
      <c r="S421" s="349"/>
      <c r="T421" s="349"/>
      <c r="U421" s="349"/>
      <c r="V421" s="349"/>
      <c r="W421" s="349"/>
      <c r="X421" s="349"/>
      <c r="Y421" s="349"/>
      <c r="Z421" s="349"/>
      <c r="AA421" s="349"/>
      <c r="AB421" s="349"/>
      <c r="AC421" s="349"/>
      <c r="AD421" s="349"/>
      <c r="AE421" s="349"/>
      <c r="AF421" s="349"/>
      <c r="AG421" s="349"/>
      <c r="AH421" s="349"/>
      <c r="AI421" s="349"/>
      <c r="AJ421" s="349"/>
      <c r="AK421" s="349"/>
      <c r="AL421" s="349"/>
      <c r="AM421" s="349"/>
      <c r="AN421" s="349"/>
      <c r="AO421" s="349"/>
      <c r="AP421" s="349"/>
      <c r="AQ421" s="349"/>
      <c r="AR421" s="349"/>
      <c r="AS421" s="349"/>
      <c r="AT421" s="349"/>
      <c r="AU421" s="349"/>
      <c r="AV421" s="349"/>
      <c r="AW421" s="349"/>
      <c r="AX421" s="349"/>
      <c r="AY421" s="349"/>
      <c r="AZ421" s="349"/>
      <c r="BA421" s="349"/>
      <c r="BB421" s="349"/>
      <c r="BC421" s="349"/>
      <c r="BD421" s="349"/>
      <c r="BE421" s="349"/>
      <c r="BF421" s="349"/>
      <c r="BG421" s="349"/>
      <c r="BH421" s="349"/>
      <c r="BI421" s="349"/>
      <c r="BJ421" s="349"/>
      <c r="BK421" s="349"/>
      <c r="BL421" s="349"/>
      <c r="BM421" s="349"/>
      <c r="BN421" s="349"/>
      <c r="BO421" s="349"/>
      <c r="BP421" s="349"/>
      <c r="BQ421" s="349"/>
      <c r="BR421" s="349"/>
      <c r="BS421" s="349"/>
    </row>
    <row r="422" spans="1:71" x14ac:dyDescent="0.3">
      <c r="A422" s="349"/>
      <c r="B422" s="349"/>
      <c r="C422" s="349"/>
      <c r="D422" s="349"/>
      <c r="E422" s="349"/>
      <c r="F422" s="349"/>
      <c r="G422" s="349"/>
      <c r="H422" s="349"/>
      <c r="I422" s="349"/>
      <c r="J422" s="349"/>
      <c r="K422" s="349"/>
      <c r="L422" s="349"/>
      <c r="M422" s="349"/>
      <c r="N422" s="349"/>
      <c r="O422" s="349"/>
      <c r="P422" s="349"/>
      <c r="Q422" s="349"/>
      <c r="R422" s="349"/>
      <c r="S422" s="349"/>
      <c r="T422" s="349"/>
      <c r="U422" s="349"/>
      <c r="V422" s="349"/>
      <c r="W422" s="349"/>
      <c r="X422" s="349"/>
      <c r="Y422" s="349"/>
      <c r="Z422" s="349"/>
      <c r="AA422" s="349"/>
      <c r="AB422" s="349"/>
      <c r="AC422" s="349"/>
      <c r="AD422" s="349"/>
      <c r="AE422" s="349"/>
      <c r="AF422" s="349"/>
      <c r="AG422" s="349"/>
      <c r="AH422" s="349"/>
      <c r="AI422" s="349"/>
      <c r="AJ422" s="349"/>
      <c r="AK422" s="349"/>
      <c r="AL422" s="349"/>
      <c r="AM422" s="349"/>
      <c r="AN422" s="349"/>
      <c r="AO422" s="349"/>
      <c r="AP422" s="349"/>
      <c r="AQ422" s="349"/>
      <c r="AR422" s="349"/>
      <c r="AS422" s="349"/>
      <c r="AT422" s="349"/>
      <c r="AU422" s="349"/>
      <c r="AV422" s="349"/>
      <c r="AW422" s="349"/>
      <c r="AX422" s="349"/>
      <c r="AY422" s="349"/>
      <c r="AZ422" s="349"/>
      <c r="BA422" s="349"/>
      <c r="BB422" s="349"/>
      <c r="BC422" s="349"/>
      <c r="BD422" s="349"/>
      <c r="BE422" s="349"/>
      <c r="BF422" s="349"/>
      <c r="BG422" s="349"/>
      <c r="BH422" s="349"/>
      <c r="BI422" s="349"/>
      <c r="BJ422" s="349"/>
      <c r="BK422" s="349"/>
      <c r="BL422" s="349"/>
      <c r="BM422" s="349"/>
      <c r="BN422" s="349"/>
      <c r="BO422" s="349"/>
      <c r="BP422" s="349"/>
      <c r="BQ422" s="349"/>
      <c r="BR422" s="349"/>
      <c r="BS422" s="349"/>
    </row>
    <row r="423" spans="1:71" x14ac:dyDescent="0.3">
      <c r="A423" s="349"/>
      <c r="B423" s="349"/>
      <c r="C423" s="349"/>
      <c r="D423" s="349"/>
      <c r="E423" s="349"/>
      <c r="F423" s="349"/>
      <c r="G423" s="349"/>
      <c r="H423" s="349"/>
      <c r="I423" s="349"/>
      <c r="J423" s="349"/>
      <c r="K423" s="349"/>
      <c r="L423" s="349"/>
      <c r="M423" s="349"/>
      <c r="N423" s="349"/>
      <c r="O423" s="349"/>
      <c r="P423" s="349"/>
      <c r="Q423" s="349"/>
      <c r="R423" s="349"/>
      <c r="S423" s="349"/>
      <c r="T423" s="349"/>
      <c r="U423" s="349"/>
      <c r="V423" s="349"/>
      <c r="W423" s="349"/>
      <c r="X423" s="349"/>
      <c r="Y423" s="349"/>
      <c r="Z423" s="349"/>
      <c r="AA423" s="349"/>
      <c r="AB423" s="349"/>
      <c r="AC423" s="349"/>
      <c r="AD423" s="349"/>
      <c r="AE423" s="349"/>
      <c r="AF423" s="349"/>
      <c r="AG423" s="349"/>
      <c r="AH423" s="349"/>
      <c r="AI423" s="349"/>
      <c r="AJ423" s="349"/>
      <c r="AK423" s="349"/>
      <c r="AL423" s="349"/>
      <c r="AM423" s="349"/>
      <c r="AN423" s="349"/>
      <c r="AO423" s="349"/>
      <c r="AP423" s="349"/>
      <c r="AQ423" s="349"/>
      <c r="AR423" s="349"/>
      <c r="AS423" s="349"/>
      <c r="AT423" s="349"/>
      <c r="AU423" s="349"/>
      <c r="AV423" s="349"/>
      <c r="AW423" s="349"/>
      <c r="AX423" s="349"/>
      <c r="AY423" s="349"/>
      <c r="AZ423" s="349"/>
      <c r="BA423" s="349"/>
      <c r="BB423" s="349"/>
      <c r="BC423" s="349"/>
      <c r="BD423" s="349"/>
      <c r="BE423" s="349"/>
      <c r="BF423" s="349"/>
      <c r="BG423" s="349"/>
      <c r="BH423" s="349"/>
      <c r="BI423" s="349"/>
      <c r="BJ423" s="349"/>
      <c r="BK423" s="349"/>
      <c r="BL423" s="349"/>
      <c r="BM423" s="349"/>
      <c r="BN423" s="349"/>
      <c r="BO423" s="349"/>
      <c r="BP423" s="349"/>
      <c r="BQ423" s="349"/>
      <c r="BR423" s="349"/>
      <c r="BS423" s="349"/>
    </row>
    <row r="424" spans="1:71" x14ac:dyDescent="0.3">
      <c r="A424" s="349"/>
      <c r="B424" s="349"/>
      <c r="C424" s="349"/>
      <c r="D424" s="349"/>
      <c r="E424" s="349"/>
      <c r="F424" s="349"/>
      <c r="G424" s="349"/>
      <c r="H424" s="349"/>
      <c r="I424" s="349"/>
      <c r="J424" s="349"/>
      <c r="K424" s="349"/>
      <c r="L424" s="349"/>
      <c r="M424" s="349"/>
      <c r="N424" s="349"/>
      <c r="O424" s="349"/>
      <c r="P424" s="349"/>
      <c r="Q424" s="349"/>
      <c r="R424" s="349"/>
      <c r="S424" s="349"/>
      <c r="T424" s="349"/>
      <c r="U424" s="349"/>
      <c r="V424" s="349"/>
      <c r="W424" s="349"/>
      <c r="X424" s="349"/>
      <c r="Y424" s="349"/>
      <c r="Z424" s="349"/>
      <c r="AA424" s="349"/>
      <c r="AB424" s="349"/>
      <c r="AC424" s="349"/>
      <c r="AD424" s="349"/>
      <c r="AE424" s="349"/>
      <c r="AF424" s="349"/>
      <c r="AG424" s="349"/>
      <c r="AH424" s="349"/>
      <c r="AI424" s="349"/>
      <c r="AJ424" s="349"/>
      <c r="AK424" s="349"/>
      <c r="AL424" s="349"/>
      <c r="AM424" s="349"/>
      <c r="AN424" s="349"/>
      <c r="AO424" s="349"/>
      <c r="AP424" s="349"/>
      <c r="AQ424" s="349"/>
      <c r="AR424" s="349"/>
      <c r="AS424" s="349"/>
      <c r="AT424" s="349"/>
      <c r="AU424" s="349"/>
      <c r="AV424" s="349"/>
      <c r="AW424" s="349"/>
      <c r="AX424" s="349"/>
      <c r="AY424" s="349"/>
      <c r="AZ424" s="349"/>
      <c r="BA424" s="349"/>
      <c r="BB424" s="349"/>
      <c r="BC424" s="349"/>
      <c r="BD424" s="349"/>
      <c r="BE424" s="349"/>
      <c r="BF424" s="349"/>
      <c r="BG424" s="349"/>
      <c r="BH424" s="349"/>
      <c r="BI424" s="349"/>
      <c r="BJ424" s="349"/>
      <c r="BK424" s="349"/>
      <c r="BL424" s="349"/>
      <c r="BM424" s="349"/>
      <c r="BN424" s="349"/>
      <c r="BO424" s="349"/>
      <c r="BP424" s="349"/>
      <c r="BQ424" s="349"/>
      <c r="BR424" s="349"/>
      <c r="BS424" s="349"/>
    </row>
    <row r="425" spans="1:71" x14ac:dyDescent="0.3">
      <c r="A425" s="349"/>
      <c r="B425" s="349"/>
      <c r="C425" s="349"/>
      <c r="D425" s="349"/>
      <c r="E425" s="349"/>
      <c r="F425" s="349"/>
      <c r="G425" s="349"/>
      <c r="H425" s="349"/>
      <c r="I425" s="349"/>
      <c r="J425" s="349"/>
      <c r="K425" s="349"/>
      <c r="L425" s="349"/>
      <c r="M425" s="349"/>
      <c r="N425" s="349"/>
      <c r="O425" s="349"/>
      <c r="P425" s="349"/>
      <c r="Q425" s="349"/>
      <c r="R425" s="349"/>
      <c r="S425" s="349"/>
      <c r="T425" s="349"/>
      <c r="U425" s="349"/>
      <c r="V425" s="349"/>
      <c r="W425" s="349"/>
      <c r="X425" s="349"/>
      <c r="Y425" s="349"/>
      <c r="Z425" s="349"/>
      <c r="AA425" s="349"/>
      <c r="AB425" s="349"/>
      <c r="AC425" s="349"/>
      <c r="AD425" s="349"/>
      <c r="AE425" s="349"/>
      <c r="AF425" s="349"/>
      <c r="AG425" s="349"/>
      <c r="AH425" s="349"/>
      <c r="AI425" s="349"/>
      <c r="AJ425" s="349"/>
      <c r="AK425" s="349"/>
      <c r="AL425" s="349"/>
      <c r="AM425" s="349"/>
      <c r="AN425" s="349"/>
      <c r="AO425" s="349"/>
      <c r="AP425" s="349"/>
      <c r="AQ425" s="349"/>
      <c r="AR425" s="349"/>
      <c r="AS425" s="349"/>
      <c r="AT425" s="349"/>
      <c r="AU425" s="349"/>
      <c r="AV425" s="349"/>
      <c r="AW425" s="349"/>
      <c r="AX425" s="349"/>
      <c r="AY425" s="349"/>
      <c r="AZ425" s="349"/>
      <c r="BA425" s="349"/>
      <c r="BB425" s="349"/>
      <c r="BC425" s="349"/>
      <c r="BD425" s="349"/>
      <c r="BE425" s="349"/>
      <c r="BF425" s="349"/>
      <c r="BG425" s="349"/>
      <c r="BH425" s="349"/>
      <c r="BI425" s="349"/>
      <c r="BJ425" s="349"/>
      <c r="BK425" s="349"/>
      <c r="BL425" s="349"/>
      <c r="BM425" s="349"/>
      <c r="BN425" s="349"/>
      <c r="BO425" s="349"/>
      <c r="BP425" s="349"/>
      <c r="BQ425" s="349"/>
      <c r="BR425" s="349"/>
      <c r="BS425" s="349"/>
    </row>
    <row r="426" spans="1:71" x14ac:dyDescent="0.3">
      <c r="A426" s="349"/>
      <c r="B426" s="349"/>
      <c r="C426" s="349"/>
      <c r="D426" s="349"/>
      <c r="E426" s="349"/>
      <c r="F426" s="349"/>
      <c r="G426" s="349"/>
      <c r="H426" s="349"/>
      <c r="I426" s="349"/>
      <c r="J426" s="349"/>
      <c r="K426" s="349"/>
      <c r="L426" s="349"/>
      <c r="M426" s="349"/>
      <c r="N426" s="349"/>
      <c r="O426" s="349"/>
      <c r="P426" s="349"/>
      <c r="Q426" s="349"/>
      <c r="R426" s="349"/>
      <c r="S426" s="349"/>
      <c r="T426" s="349"/>
      <c r="U426" s="349"/>
      <c r="V426" s="349"/>
      <c r="W426" s="349"/>
      <c r="X426" s="349"/>
      <c r="Y426" s="349"/>
      <c r="Z426" s="349"/>
      <c r="AA426" s="349"/>
      <c r="AB426" s="349"/>
      <c r="AC426" s="349"/>
      <c r="AD426" s="349"/>
      <c r="AE426" s="349"/>
      <c r="AF426" s="349"/>
      <c r="AG426" s="349"/>
      <c r="AH426" s="349"/>
      <c r="AI426" s="349"/>
      <c r="AJ426" s="349"/>
      <c r="AK426" s="349"/>
      <c r="AL426" s="349"/>
      <c r="AM426" s="349"/>
      <c r="AN426" s="349"/>
      <c r="AO426" s="349"/>
      <c r="AP426" s="349"/>
      <c r="AQ426" s="349"/>
      <c r="AR426" s="349"/>
      <c r="AS426" s="349"/>
      <c r="AT426" s="349"/>
      <c r="AU426" s="349"/>
      <c r="AV426" s="349"/>
      <c r="AW426" s="349"/>
      <c r="AX426" s="349"/>
      <c r="AY426" s="349"/>
      <c r="AZ426" s="349"/>
      <c r="BA426" s="349"/>
      <c r="BB426" s="349"/>
      <c r="BC426" s="349"/>
      <c r="BD426" s="349"/>
      <c r="BE426" s="349"/>
      <c r="BF426" s="349"/>
      <c r="BG426" s="349"/>
      <c r="BH426" s="349"/>
      <c r="BI426" s="349"/>
      <c r="BJ426" s="349"/>
      <c r="BK426" s="349"/>
      <c r="BL426" s="349"/>
      <c r="BM426" s="349"/>
      <c r="BN426" s="349"/>
      <c r="BO426" s="349"/>
      <c r="BP426" s="349"/>
      <c r="BQ426" s="349"/>
      <c r="BR426" s="349"/>
      <c r="BS426" s="349"/>
    </row>
    <row r="427" spans="1:71" x14ac:dyDescent="0.3">
      <c r="A427" s="349"/>
      <c r="B427" s="349"/>
      <c r="C427" s="349"/>
      <c r="D427" s="349"/>
      <c r="E427" s="349"/>
      <c r="F427" s="349"/>
      <c r="G427" s="349"/>
      <c r="H427" s="349"/>
      <c r="I427" s="349"/>
      <c r="J427" s="349"/>
      <c r="K427" s="349"/>
      <c r="L427" s="349"/>
      <c r="M427" s="349"/>
      <c r="N427" s="349"/>
      <c r="O427" s="349"/>
      <c r="P427" s="349"/>
      <c r="Q427" s="349"/>
      <c r="R427" s="349"/>
      <c r="S427" s="349"/>
      <c r="T427" s="349"/>
      <c r="U427" s="349"/>
      <c r="V427" s="349"/>
      <c r="W427" s="349"/>
      <c r="X427" s="349"/>
      <c r="Y427" s="349"/>
      <c r="Z427" s="349"/>
      <c r="AA427" s="349"/>
      <c r="AB427" s="349"/>
      <c r="AC427" s="349"/>
      <c r="AD427" s="349"/>
      <c r="AE427" s="349"/>
      <c r="AF427" s="349"/>
      <c r="AG427" s="349"/>
      <c r="AH427" s="349"/>
      <c r="AI427" s="349"/>
      <c r="AJ427" s="349"/>
      <c r="AK427" s="349"/>
      <c r="AL427" s="349"/>
      <c r="AM427" s="349"/>
      <c r="AN427" s="349"/>
      <c r="AO427" s="349"/>
      <c r="AP427" s="349"/>
      <c r="AQ427" s="349"/>
      <c r="AR427" s="349"/>
      <c r="AS427" s="349"/>
      <c r="AT427" s="349"/>
      <c r="AU427" s="349"/>
      <c r="AV427" s="349"/>
      <c r="AW427" s="349"/>
      <c r="AX427" s="349"/>
      <c r="AY427" s="349"/>
      <c r="AZ427" s="349"/>
      <c r="BA427" s="349"/>
      <c r="BB427" s="349"/>
      <c r="BC427" s="349"/>
      <c r="BD427" s="349"/>
      <c r="BE427" s="349"/>
      <c r="BF427" s="349"/>
      <c r="BG427" s="349"/>
      <c r="BH427" s="349"/>
      <c r="BI427" s="349"/>
      <c r="BJ427" s="349"/>
      <c r="BK427" s="349"/>
      <c r="BL427" s="349"/>
      <c r="BM427" s="349"/>
      <c r="BN427" s="349"/>
      <c r="BO427" s="349"/>
      <c r="BP427" s="349"/>
      <c r="BQ427" s="349"/>
      <c r="BR427" s="349"/>
      <c r="BS427" s="349"/>
    </row>
    <row r="428" spans="1:71" x14ac:dyDescent="0.3">
      <c r="A428" s="349"/>
      <c r="B428" s="349"/>
      <c r="C428" s="349"/>
      <c r="D428" s="349"/>
      <c r="E428" s="349"/>
      <c r="F428" s="349"/>
      <c r="G428" s="349"/>
      <c r="H428" s="349"/>
      <c r="I428" s="349"/>
      <c r="J428" s="349"/>
      <c r="K428" s="349"/>
      <c r="L428" s="349"/>
      <c r="M428" s="349"/>
      <c r="N428" s="349"/>
      <c r="O428" s="349"/>
      <c r="P428" s="349"/>
      <c r="Q428" s="349"/>
      <c r="R428" s="349"/>
      <c r="S428" s="349"/>
      <c r="T428" s="349"/>
      <c r="U428" s="349"/>
      <c r="V428" s="349"/>
      <c r="W428" s="349"/>
      <c r="X428" s="349"/>
      <c r="Y428" s="349"/>
      <c r="Z428" s="349"/>
      <c r="AA428" s="349"/>
      <c r="AB428" s="349"/>
      <c r="AC428" s="349"/>
      <c r="AD428" s="349"/>
      <c r="AE428" s="349"/>
      <c r="AF428" s="349"/>
      <c r="AG428" s="349"/>
      <c r="AH428" s="349"/>
      <c r="AI428" s="349"/>
      <c r="AJ428" s="349"/>
      <c r="AK428" s="349"/>
      <c r="AL428" s="349"/>
      <c r="AM428" s="349"/>
      <c r="AN428" s="349"/>
      <c r="AO428" s="349"/>
      <c r="AP428" s="349"/>
      <c r="AQ428" s="349"/>
      <c r="AR428" s="349"/>
      <c r="AS428" s="349"/>
      <c r="AT428" s="349"/>
      <c r="AU428" s="349"/>
      <c r="AV428" s="349"/>
      <c r="AW428" s="349"/>
      <c r="AX428" s="349"/>
      <c r="AY428" s="349"/>
      <c r="AZ428" s="349"/>
      <c r="BA428" s="349"/>
      <c r="BB428" s="349"/>
      <c r="BC428" s="349"/>
      <c r="BD428" s="349"/>
      <c r="BE428" s="349"/>
      <c r="BF428" s="349"/>
      <c r="BG428" s="349"/>
      <c r="BH428" s="349"/>
      <c r="BI428" s="349"/>
      <c r="BJ428" s="349"/>
      <c r="BK428" s="349"/>
      <c r="BL428" s="349"/>
      <c r="BM428" s="349"/>
      <c r="BN428" s="349"/>
      <c r="BO428" s="349"/>
      <c r="BP428" s="349"/>
      <c r="BQ428" s="349"/>
      <c r="BR428" s="349"/>
      <c r="BS428" s="349"/>
    </row>
    <row r="429" spans="1:71" x14ac:dyDescent="0.3">
      <c r="A429" s="349"/>
      <c r="B429" s="349"/>
      <c r="C429" s="349"/>
      <c r="D429" s="349"/>
      <c r="E429" s="349"/>
      <c r="F429" s="349"/>
      <c r="G429" s="349"/>
      <c r="H429" s="349"/>
      <c r="I429" s="349"/>
      <c r="J429" s="349"/>
      <c r="K429" s="349"/>
      <c r="L429" s="349"/>
      <c r="M429" s="349"/>
      <c r="N429" s="349"/>
      <c r="O429" s="349"/>
      <c r="P429" s="349"/>
      <c r="Q429" s="349"/>
      <c r="R429" s="349"/>
      <c r="S429" s="349"/>
      <c r="T429" s="349"/>
      <c r="U429" s="349"/>
      <c r="V429" s="349"/>
      <c r="W429" s="349"/>
      <c r="X429" s="349"/>
      <c r="Y429" s="349"/>
      <c r="Z429" s="349"/>
      <c r="AA429" s="349"/>
      <c r="AB429" s="349"/>
      <c r="AC429" s="349"/>
      <c r="AD429" s="349"/>
      <c r="AE429" s="349"/>
      <c r="AF429" s="349"/>
      <c r="AG429" s="349"/>
      <c r="AH429" s="349"/>
      <c r="AI429" s="349"/>
      <c r="AJ429" s="349"/>
      <c r="AK429" s="349"/>
      <c r="AL429" s="349"/>
      <c r="AM429" s="349"/>
      <c r="AN429" s="349"/>
      <c r="AO429" s="349"/>
      <c r="AP429" s="349"/>
      <c r="AQ429" s="349"/>
      <c r="AR429" s="349"/>
      <c r="AS429" s="349"/>
      <c r="AT429" s="349"/>
      <c r="AU429" s="349"/>
      <c r="AV429" s="349"/>
      <c r="AW429" s="349"/>
      <c r="AX429" s="349"/>
      <c r="AY429" s="349"/>
      <c r="AZ429" s="349"/>
      <c r="BA429" s="349"/>
      <c r="BB429" s="349"/>
      <c r="BC429" s="349"/>
      <c r="BD429" s="349"/>
      <c r="BE429" s="349"/>
      <c r="BF429" s="349"/>
      <c r="BG429" s="349"/>
      <c r="BH429" s="349"/>
      <c r="BI429" s="349"/>
      <c r="BJ429" s="349"/>
      <c r="BK429" s="349"/>
      <c r="BL429" s="349"/>
      <c r="BM429" s="349"/>
      <c r="BN429" s="349"/>
      <c r="BO429" s="349"/>
      <c r="BP429" s="349"/>
      <c r="BQ429" s="349"/>
      <c r="BR429" s="349"/>
      <c r="BS429" s="349"/>
    </row>
    <row r="430" spans="1:71" x14ac:dyDescent="0.3">
      <c r="A430" s="349"/>
      <c r="B430" s="349"/>
      <c r="C430" s="349"/>
      <c r="D430" s="349"/>
      <c r="E430" s="349"/>
      <c r="F430" s="349"/>
      <c r="G430" s="349"/>
      <c r="H430" s="349"/>
      <c r="I430" s="349"/>
      <c r="J430" s="349"/>
      <c r="K430" s="349"/>
      <c r="L430" s="349"/>
      <c r="M430" s="349"/>
      <c r="N430" s="349"/>
      <c r="O430" s="349"/>
      <c r="P430" s="349"/>
      <c r="Q430" s="349"/>
      <c r="R430" s="349"/>
      <c r="S430" s="349"/>
      <c r="T430" s="349"/>
      <c r="U430" s="349"/>
      <c r="V430" s="349"/>
      <c r="W430" s="349"/>
      <c r="X430" s="349"/>
      <c r="Y430" s="349"/>
      <c r="Z430" s="349"/>
      <c r="AA430" s="349"/>
      <c r="AB430" s="349"/>
      <c r="AC430" s="349"/>
      <c r="AD430" s="349"/>
      <c r="AE430" s="349"/>
      <c r="AF430" s="349"/>
      <c r="AG430" s="349"/>
      <c r="AH430" s="349"/>
      <c r="AI430" s="349"/>
      <c r="AJ430" s="349"/>
      <c r="AK430" s="349"/>
      <c r="AL430" s="349"/>
      <c r="AM430" s="349"/>
      <c r="AN430" s="349"/>
      <c r="AO430" s="349"/>
      <c r="AP430" s="349"/>
      <c r="AQ430" s="349"/>
      <c r="AR430" s="349"/>
      <c r="AS430" s="349"/>
      <c r="AT430" s="349"/>
      <c r="AU430" s="349"/>
      <c r="AV430" s="349"/>
      <c r="AW430" s="349"/>
      <c r="AX430" s="349"/>
      <c r="AY430" s="349"/>
      <c r="AZ430" s="349"/>
      <c r="BA430" s="349"/>
      <c r="BB430" s="349"/>
      <c r="BC430" s="349"/>
      <c r="BD430" s="349"/>
      <c r="BE430" s="349"/>
      <c r="BF430" s="349"/>
      <c r="BG430" s="349"/>
      <c r="BH430" s="349"/>
      <c r="BI430" s="349"/>
      <c r="BJ430" s="349"/>
      <c r="BK430" s="349"/>
      <c r="BL430" s="349"/>
      <c r="BM430" s="349"/>
      <c r="BN430" s="349"/>
      <c r="BO430" s="349"/>
      <c r="BP430" s="349"/>
      <c r="BQ430" s="349"/>
      <c r="BR430" s="349"/>
      <c r="BS430" s="349"/>
    </row>
    <row r="431" spans="1:71" x14ac:dyDescent="0.3">
      <c r="A431" s="349"/>
      <c r="B431" s="349"/>
      <c r="C431" s="349"/>
      <c r="D431" s="349"/>
      <c r="E431" s="349"/>
      <c r="F431" s="349"/>
      <c r="G431" s="349"/>
      <c r="H431" s="349"/>
      <c r="I431" s="349"/>
      <c r="J431" s="349"/>
      <c r="K431" s="349"/>
      <c r="L431" s="349"/>
      <c r="M431" s="349"/>
      <c r="N431" s="349"/>
      <c r="O431" s="349"/>
      <c r="P431" s="349"/>
      <c r="Q431" s="349"/>
      <c r="R431" s="349"/>
      <c r="S431" s="349"/>
      <c r="T431" s="349"/>
      <c r="U431" s="349"/>
      <c r="V431" s="349"/>
      <c r="W431" s="349"/>
      <c r="X431" s="349"/>
      <c r="Y431" s="349"/>
      <c r="Z431" s="349"/>
      <c r="AA431" s="349"/>
      <c r="AB431" s="349"/>
      <c r="AC431" s="349"/>
      <c r="AD431" s="349"/>
      <c r="AE431" s="349"/>
      <c r="AF431" s="349"/>
      <c r="AG431" s="349"/>
      <c r="AH431" s="349"/>
      <c r="AI431" s="349"/>
      <c r="AJ431" s="349"/>
      <c r="AK431" s="349"/>
      <c r="AL431" s="349"/>
      <c r="AM431" s="349"/>
      <c r="AN431" s="349"/>
      <c r="AO431" s="349"/>
      <c r="AP431" s="349"/>
      <c r="AQ431" s="349"/>
      <c r="AR431" s="349"/>
      <c r="AS431" s="349"/>
      <c r="AT431" s="349"/>
      <c r="AU431" s="349"/>
      <c r="AV431" s="349"/>
      <c r="AW431" s="349"/>
      <c r="AX431" s="349"/>
      <c r="AY431" s="349"/>
      <c r="AZ431" s="349"/>
      <c r="BA431" s="349"/>
      <c r="BB431" s="349"/>
      <c r="BC431" s="349"/>
      <c r="BD431" s="349"/>
      <c r="BE431" s="349"/>
      <c r="BF431" s="349"/>
      <c r="BG431" s="349"/>
      <c r="BH431" s="349"/>
      <c r="BI431" s="349"/>
      <c r="BJ431" s="349"/>
      <c r="BK431" s="349"/>
      <c r="BL431" s="349"/>
      <c r="BM431" s="349"/>
      <c r="BN431" s="349"/>
      <c r="BO431" s="349"/>
      <c r="BP431" s="349"/>
      <c r="BQ431" s="349"/>
      <c r="BR431" s="349"/>
      <c r="BS431" s="349"/>
    </row>
    <row r="432" spans="1:71" x14ac:dyDescent="0.3">
      <c r="A432" s="349"/>
      <c r="B432" s="349"/>
      <c r="C432" s="349"/>
      <c r="D432" s="349"/>
      <c r="E432" s="349"/>
      <c r="F432" s="349"/>
      <c r="G432" s="349"/>
      <c r="H432" s="349"/>
      <c r="I432" s="349"/>
      <c r="J432" s="349"/>
      <c r="K432" s="349"/>
      <c r="L432" s="349"/>
      <c r="M432" s="349"/>
      <c r="N432" s="349"/>
      <c r="O432" s="349"/>
      <c r="P432" s="349"/>
      <c r="Q432" s="349"/>
      <c r="R432" s="349"/>
      <c r="S432" s="349"/>
      <c r="T432" s="349"/>
      <c r="U432" s="349"/>
      <c r="V432" s="349"/>
      <c r="W432" s="349"/>
      <c r="X432" s="349"/>
      <c r="Y432" s="349"/>
      <c r="Z432" s="349"/>
      <c r="AA432" s="349"/>
      <c r="AB432" s="349"/>
      <c r="AC432" s="349"/>
      <c r="AD432" s="349"/>
      <c r="AE432" s="349"/>
      <c r="AF432" s="349"/>
      <c r="AG432" s="349"/>
      <c r="AH432" s="349"/>
      <c r="AI432" s="349"/>
      <c r="AJ432" s="349"/>
      <c r="AK432" s="349"/>
      <c r="AL432" s="349"/>
      <c r="AM432" s="349"/>
      <c r="AN432" s="349"/>
      <c r="AO432" s="349"/>
      <c r="AP432" s="349"/>
      <c r="AQ432" s="349"/>
      <c r="AR432" s="349"/>
      <c r="AS432" s="349"/>
      <c r="AT432" s="349"/>
      <c r="AU432" s="349"/>
      <c r="AV432" s="349"/>
      <c r="AW432" s="349"/>
      <c r="AX432" s="349"/>
      <c r="AY432" s="349"/>
      <c r="AZ432" s="349"/>
      <c r="BA432" s="349"/>
      <c r="BB432" s="349"/>
      <c r="BC432" s="349"/>
      <c r="BD432" s="349"/>
      <c r="BE432" s="349"/>
      <c r="BF432" s="349"/>
      <c r="BG432" s="349"/>
      <c r="BH432" s="349"/>
      <c r="BI432" s="349"/>
      <c r="BJ432" s="349"/>
      <c r="BK432" s="349"/>
      <c r="BL432" s="349"/>
      <c r="BM432" s="349"/>
      <c r="BN432" s="349"/>
      <c r="BO432" s="349"/>
      <c r="BP432" s="349"/>
      <c r="BQ432" s="349"/>
      <c r="BR432" s="349"/>
      <c r="BS432" s="349"/>
    </row>
    <row r="433" spans="1:71" x14ac:dyDescent="0.3">
      <c r="A433" s="349"/>
      <c r="B433" s="349"/>
      <c r="C433" s="349"/>
      <c r="D433" s="349"/>
      <c r="E433" s="349"/>
      <c r="F433" s="349"/>
      <c r="G433" s="349"/>
      <c r="H433" s="349"/>
      <c r="I433" s="349"/>
      <c r="J433" s="349"/>
      <c r="K433" s="349"/>
      <c r="L433" s="349"/>
      <c r="M433" s="349"/>
      <c r="N433" s="349"/>
      <c r="O433" s="349"/>
      <c r="P433" s="349"/>
      <c r="Q433" s="349"/>
      <c r="R433" s="349"/>
      <c r="S433" s="349"/>
      <c r="T433" s="349"/>
      <c r="U433" s="349"/>
      <c r="V433" s="349"/>
      <c r="W433" s="349"/>
      <c r="X433" s="349"/>
      <c r="Y433" s="349"/>
      <c r="Z433" s="349"/>
      <c r="AA433" s="349"/>
      <c r="AB433" s="349"/>
      <c r="AC433" s="349"/>
      <c r="AD433" s="349"/>
      <c r="AE433" s="349"/>
      <c r="AF433" s="349"/>
      <c r="AG433" s="349"/>
      <c r="AH433" s="349"/>
      <c r="AI433" s="349"/>
      <c r="AJ433" s="349"/>
      <c r="AK433" s="349"/>
      <c r="AL433" s="349"/>
      <c r="AM433" s="349"/>
      <c r="AN433" s="349"/>
      <c r="AO433" s="349"/>
      <c r="AP433" s="349"/>
      <c r="AQ433" s="349"/>
      <c r="AR433" s="349"/>
      <c r="AS433" s="349"/>
      <c r="AT433" s="349"/>
      <c r="AU433" s="349"/>
      <c r="AV433" s="349"/>
      <c r="AW433" s="349"/>
      <c r="AX433" s="349"/>
      <c r="AY433" s="349"/>
      <c r="AZ433" s="349"/>
      <c r="BA433" s="349"/>
      <c r="BB433" s="349"/>
      <c r="BC433" s="349"/>
      <c r="BD433" s="349"/>
      <c r="BE433" s="349"/>
      <c r="BF433" s="349"/>
      <c r="BG433" s="349"/>
      <c r="BH433" s="349"/>
      <c r="BI433" s="349"/>
      <c r="BJ433" s="349"/>
      <c r="BK433" s="349"/>
      <c r="BL433" s="349"/>
      <c r="BM433" s="349"/>
      <c r="BN433" s="349"/>
      <c r="BO433" s="349"/>
      <c r="BP433" s="349"/>
      <c r="BQ433" s="349"/>
      <c r="BR433" s="349"/>
      <c r="BS433" s="349"/>
    </row>
    <row r="434" spans="1:71" x14ac:dyDescent="0.3">
      <c r="A434" s="349"/>
      <c r="B434" s="349"/>
      <c r="C434" s="349"/>
      <c r="D434" s="349"/>
      <c r="E434" s="349"/>
      <c r="F434" s="349"/>
      <c r="G434" s="349"/>
      <c r="H434" s="349"/>
      <c r="I434" s="349"/>
      <c r="J434" s="349"/>
      <c r="K434" s="349"/>
      <c r="L434" s="349"/>
      <c r="M434" s="349"/>
      <c r="N434" s="349"/>
      <c r="O434" s="349"/>
      <c r="P434" s="349"/>
      <c r="Q434" s="349"/>
      <c r="R434" s="349"/>
      <c r="S434" s="349"/>
      <c r="T434" s="349"/>
      <c r="U434" s="349"/>
      <c r="V434" s="349"/>
      <c r="W434" s="349"/>
      <c r="X434" s="349"/>
      <c r="Y434" s="349"/>
      <c r="Z434" s="349"/>
      <c r="AA434" s="349"/>
      <c r="AB434" s="349"/>
      <c r="AC434" s="349"/>
      <c r="AD434" s="349"/>
      <c r="AE434" s="349"/>
      <c r="AF434" s="349"/>
      <c r="AG434" s="349"/>
      <c r="AH434" s="349"/>
      <c r="AI434" s="349"/>
      <c r="AJ434" s="349"/>
      <c r="AK434" s="349"/>
      <c r="AL434" s="349"/>
      <c r="AM434" s="349"/>
      <c r="AN434" s="349"/>
      <c r="AO434" s="349"/>
      <c r="AP434" s="349"/>
      <c r="AQ434" s="349"/>
      <c r="AR434" s="349"/>
      <c r="AS434" s="349"/>
      <c r="AT434" s="349"/>
      <c r="AU434" s="349"/>
      <c r="AV434" s="349"/>
      <c r="AW434" s="349"/>
      <c r="AX434" s="349"/>
      <c r="AY434" s="349"/>
      <c r="AZ434" s="349"/>
      <c r="BA434" s="349"/>
      <c r="BB434" s="349"/>
      <c r="BC434" s="349"/>
      <c r="BD434" s="349"/>
      <c r="BE434" s="349"/>
      <c r="BF434" s="349"/>
      <c r="BG434" s="349"/>
      <c r="BH434" s="349"/>
      <c r="BI434" s="349"/>
      <c r="BJ434" s="349"/>
      <c r="BK434" s="349"/>
      <c r="BL434" s="349"/>
      <c r="BM434" s="349"/>
      <c r="BN434" s="349"/>
      <c r="BO434" s="349"/>
      <c r="BP434" s="349"/>
      <c r="BQ434" s="349"/>
      <c r="BR434" s="349"/>
      <c r="BS434" s="349"/>
    </row>
    <row r="435" spans="1:71" x14ac:dyDescent="0.3">
      <c r="A435" s="349"/>
      <c r="B435" s="349"/>
      <c r="C435" s="349"/>
      <c r="D435" s="349"/>
      <c r="E435" s="349"/>
      <c r="F435" s="349"/>
      <c r="G435" s="349"/>
      <c r="H435" s="349"/>
      <c r="I435" s="349"/>
      <c r="J435" s="349"/>
      <c r="K435" s="349"/>
      <c r="L435" s="349"/>
      <c r="M435" s="349"/>
      <c r="N435" s="349"/>
      <c r="O435" s="349"/>
      <c r="P435" s="349"/>
      <c r="Q435" s="349"/>
      <c r="R435" s="349"/>
      <c r="S435" s="349"/>
      <c r="T435" s="349"/>
      <c r="U435" s="349"/>
      <c r="V435" s="349"/>
      <c r="W435" s="349"/>
      <c r="X435" s="349"/>
      <c r="Y435" s="349"/>
      <c r="Z435" s="349"/>
      <c r="AA435" s="349"/>
      <c r="AB435" s="349"/>
      <c r="AC435" s="349"/>
      <c r="AD435" s="349"/>
      <c r="AE435" s="349"/>
      <c r="AF435" s="349"/>
      <c r="AG435" s="349"/>
      <c r="AH435" s="349"/>
      <c r="AI435" s="349"/>
      <c r="AJ435" s="349"/>
      <c r="AK435" s="349"/>
      <c r="AL435" s="349"/>
      <c r="AM435" s="349"/>
      <c r="AN435" s="349"/>
      <c r="AO435" s="349"/>
      <c r="AP435" s="349"/>
      <c r="AQ435" s="349"/>
      <c r="AR435" s="349"/>
      <c r="AS435" s="349"/>
      <c r="AT435" s="349"/>
      <c r="AU435" s="349"/>
      <c r="AV435" s="349"/>
      <c r="AW435" s="349"/>
      <c r="AX435" s="349"/>
      <c r="AY435" s="349"/>
      <c r="AZ435" s="349"/>
      <c r="BA435" s="349"/>
      <c r="BB435" s="349"/>
      <c r="BC435" s="349"/>
      <c r="BD435" s="349"/>
      <c r="BE435" s="349"/>
      <c r="BF435" s="349"/>
      <c r="BG435" s="349"/>
      <c r="BH435" s="349"/>
      <c r="BI435" s="349"/>
      <c r="BJ435" s="349"/>
      <c r="BK435" s="349"/>
      <c r="BL435" s="349"/>
      <c r="BM435" s="349"/>
      <c r="BN435" s="349"/>
      <c r="BO435" s="349"/>
      <c r="BP435" s="349"/>
      <c r="BQ435" s="349"/>
      <c r="BR435" s="349"/>
      <c r="BS435" s="349"/>
    </row>
    <row r="436" spans="1:71" x14ac:dyDescent="0.3">
      <c r="A436" s="349"/>
      <c r="B436" s="349"/>
      <c r="C436" s="349"/>
      <c r="D436" s="349"/>
      <c r="E436" s="349"/>
      <c r="F436" s="349"/>
      <c r="G436" s="349"/>
      <c r="H436" s="349"/>
      <c r="I436" s="349"/>
      <c r="J436" s="349"/>
      <c r="K436" s="349"/>
      <c r="L436" s="349"/>
      <c r="M436" s="349"/>
      <c r="N436" s="349"/>
      <c r="O436" s="349"/>
      <c r="P436" s="349"/>
      <c r="Q436" s="349"/>
      <c r="R436" s="349"/>
      <c r="S436" s="349"/>
      <c r="T436" s="349"/>
      <c r="U436" s="349"/>
      <c r="V436" s="349"/>
      <c r="W436" s="349"/>
      <c r="X436" s="349"/>
      <c r="Y436" s="349"/>
      <c r="Z436" s="349"/>
      <c r="AA436" s="349"/>
      <c r="AB436" s="349"/>
      <c r="AC436" s="349"/>
      <c r="AD436" s="349"/>
      <c r="AE436" s="349"/>
      <c r="AF436" s="349"/>
      <c r="AG436" s="349"/>
      <c r="AH436" s="349"/>
      <c r="AI436" s="349"/>
      <c r="AJ436" s="349"/>
      <c r="AK436" s="349"/>
      <c r="AL436" s="349"/>
      <c r="AM436" s="349"/>
      <c r="AN436" s="349"/>
      <c r="AO436" s="349"/>
      <c r="AP436" s="349"/>
      <c r="AQ436" s="349"/>
      <c r="AR436" s="349"/>
      <c r="AS436" s="349"/>
      <c r="AT436" s="349"/>
      <c r="AU436" s="349"/>
      <c r="AV436" s="349"/>
      <c r="AW436" s="349"/>
      <c r="AX436" s="349"/>
      <c r="AY436" s="349"/>
      <c r="AZ436" s="349"/>
      <c r="BA436" s="349"/>
      <c r="BB436" s="349"/>
      <c r="BC436" s="349"/>
      <c r="BD436" s="349"/>
      <c r="BE436" s="349"/>
      <c r="BF436" s="349"/>
      <c r="BG436" s="349"/>
      <c r="BH436" s="349"/>
      <c r="BI436" s="349"/>
      <c r="BJ436" s="349"/>
      <c r="BK436" s="349"/>
      <c r="BL436" s="349"/>
      <c r="BM436" s="349"/>
      <c r="BN436" s="349"/>
      <c r="BO436" s="349"/>
      <c r="BP436" s="349"/>
      <c r="BQ436" s="349"/>
      <c r="BR436" s="349"/>
      <c r="BS436" s="349"/>
    </row>
    <row r="437" spans="1:71" x14ac:dyDescent="0.3">
      <c r="A437" s="349"/>
      <c r="B437" s="349"/>
      <c r="C437" s="349"/>
      <c r="D437" s="349"/>
      <c r="E437" s="349"/>
      <c r="F437" s="349"/>
      <c r="G437" s="349"/>
      <c r="H437" s="349"/>
      <c r="I437" s="349"/>
      <c r="J437" s="349"/>
      <c r="K437" s="349"/>
      <c r="L437" s="349"/>
      <c r="M437" s="349"/>
      <c r="N437" s="349"/>
      <c r="O437" s="349"/>
      <c r="P437" s="349"/>
      <c r="Q437" s="349"/>
      <c r="R437" s="349"/>
      <c r="S437" s="349"/>
      <c r="T437" s="349"/>
      <c r="U437" s="349"/>
      <c r="V437" s="349"/>
      <c r="W437" s="349"/>
      <c r="X437" s="349"/>
      <c r="Y437" s="349"/>
      <c r="Z437" s="349"/>
      <c r="AA437" s="349"/>
      <c r="AB437" s="349"/>
      <c r="AC437" s="349"/>
      <c r="AD437" s="349"/>
      <c r="AE437" s="349"/>
      <c r="AF437" s="349"/>
      <c r="AG437" s="349"/>
      <c r="AH437" s="349"/>
      <c r="AI437" s="349"/>
      <c r="AJ437" s="349"/>
      <c r="AK437" s="349"/>
      <c r="AL437" s="349"/>
      <c r="AM437" s="349"/>
      <c r="AN437" s="349"/>
      <c r="AO437" s="349"/>
      <c r="AP437" s="349"/>
      <c r="AQ437" s="349"/>
      <c r="AR437" s="349"/>
      <c r="AS437" s="349"/>
      <c r="AT437" s="349"/>
      <c r="AU437" s="349"/>
      <c r="AV437" s="349"/>
      <c r="AW437" s="349"/>
      <c r="AX437" s="349"/>
      <c r="AY437" s="349"/>
      <c r="AZ437" s="349"/>
      <c r="BA437" s="349"/>
      <c r="BB437" s="349"/>
      <c r="BC437" s="349"/>
      <c r="BD437" s="349"/>
      <c r="BE437" s="349"/>
      <c r="BF437" s="349"/>
      <c r="BG437" s="349"/>
      <c r="BH437" s="349"/>
      <c r="BI437" s="349"/>
      <c r="BJ437" s="349"/>
      <c r="BK437" s="349"/>
      <c r="BL437" s="349"/>
      <c r="BM437" s="349"/>
      <c r="BN437" s="349"/>
      <c r="BO437" s="349"/>
      <c r="BP437" s="349"/>
      <c r="BQ437" s="349"/>
      <c r="BR437" s="349"/>
      <c r="BS437" s="349"/>
    </row>
    <row r="438" spans="1:71" x14ac:dyDescent="0.3">
      <c r="A438" s="349"/>
      <c r="B438" s="349"/>
      <c r="C438" s="349"/>
      <c r="D438" s="349"/>
      <c r="E438" s="349"/>
      <c r="F438" s="349"/>
      <c r="G438" s="349"/>
      <c r="H438" s="349"/>
      <c r="I438" s="349"/>
      <c r="J438" s="349"/>
      <c r="K438" s="349"/>
      <c r="L438" s="349"/>
      <c r="M438" s="349"/>
      <c r="N438" s="349"/>
      <c r="O438" s="349"/>
      <c r="P438" s="349"/>
      <c r="Q438" s="349"/>
      <c r="R438" s="349"/>
      <c r="S438" s="349"/>
      <c r="T438" s="349"/>
      <c r="U438" s="349"/>
      <c r="V438" s="349"/>
      <c r="W438" s="349"/>
      <c r="X438" s="349"/>
      <c r="Y438" s="349"/>
      <c r="Z438" s="349"/>
      <c r="AA438" s="349"/>
      <c r="AB438" s="349"/>
      <c r="AC438" s="349"/>
      <c r="AD438" s="349"/>
      <c r="AE438" s="349"/>
      <c r="AF438" s="349"/>
      <c r="AG438" s="349"/>
      <c r="AH438" s="349"/>
      <c r="AI438" s="349"/>
      <c r="AJ438" s="349"/>
      <c r="AK438" s="349"/>
      <c r="AL438" s="349"/>
      <c r="AM438" s="349"/>
      <c r="AN438" s="349"/>
      <c r="AO438" s="349"/>
      <c r="AP438" s="349"/>
      <c r="AQ438" s="349"/>
      <c r="AR438" s="349"/>
      <c r="AS438" s="349"/>
      <c r="AT438" s="349"/>
      <c r="AU438" s="349"/>
      <c r="AV438" s="349"/>
      <c r="AW438" s="349"/>
      <c r="AX438" s="349"/>
      <c r="AY438" s="349"/>
      <c r="AZ438" s="349"/>
      <c r="BA438" s="349"/>
      <c r="BB438" s="349"/>
      <c r="BC438" s="349"/>
      <c r="BD438" s="349"/>
      <c r="BE438" s="349"/>
      <c r="BF438" s="349"/>
      <c r="BG438" s="349"/>
      <c r="BH438" s="349"/>
      <c r="BI438" s="349"/>
      <c r="BJ438" s="349"/>
      <c r="BK438" s="349"/>
      <c r="BL438" s="349"/>
      <c r="BM438" s="349"/>
      <c r="BN438" s="349"/>
      <c r="BO438" s="349"/>
      <c r="BP438" s="349"/>
      <c r="BQ438" s="349"/>
      <c r="BR438" s="349"/>
      <c r="BS438" s="349"/>
    </row>
    <row r="439" spans="1:71" x14ac:dyDescent="0.3">
      <c r="A439" s="349"/>
      <c r="B439" s="349"/>
      <c r="C439" s="349"/>
      <c r="D439" s="349"/>
      <c r="E439" s="349"/>
      <c r="F439" s="349"/>
      <c r="G439" s="349"/>
      <c r="H439" s="349"/>
      <c r="I439" s="349"/>
      <c r="J439" s="349"/>
      <c r="K439" s="349"/>
      <c r="L439" s="349"/>
      <c r="M439" s="349"/>
      <c r="N439" s="349"/>
      <c r="O439" s="349"/>
      <c r="P439" s="349"/>
      <c r="Q439" s="349"/>
      <c r="R439" s="349"/>
      <c r="S439" s="349"/>
      <c r="T439" s="349"/>
      <c r="U439" s="349"/>
      <c r="V439" s="349"/>
      <c r="W439" s="349"/>
      <c r="X439" s="349"/>
      <c r="Y439" s="349"/>
      <c r="Z439" s="349"/>
      <c r="AA439" s="349"/>
      <c r="AB439" s="349"/>
      <c r="AC439" s="349"/>
      <c r="AD439" s="349"/>
      <c r="AE439" s="349"/>
      <c r="AF439" s="349"/>
      <c r="AG439" s="349"/>
      <c r="AH439" s="349"/>
      <c r="AI439" s="349"/>
      <c r="AJ439" s="349"/>
      <c r="AK439" s="349"/>
      <c r="AL439" s="349"/>
      <c r="AM439" s="349"/>
      <c r="AN439" s="349"/>
      <c r="AO439" s="349"/>
      <c r="AP439" s="349"/>
      <c r="AQ439" s="349"/>
      <c r="AR439" s="349"/>
      <c r="AS439" s="349"/>
      <c r="AT439" s="349"/>
      <c r="AU439" s="349"/>
      <c r="AV439" s="349"/>
      <c r="AW439" s="349"/>
      <c r="AX439" s="349"/>
      <c r="AY439" s="349"/>
      <c r="AZ439" s="349"/>
      <c r="BA439" s="349"/>
      <c r="BB439" s="349"/>
      <c r="BC439" s="349"/>
      <c r="BD439" s="349"/>
      <c r="BE439" s="349"/>
      <c r="BF439" s="349"/>
      <c r="BG439" s="349"/>
      <c r="BH439" s="349"/>
      <c r="BI439" s="349"/>
      <c r="BJ439" s="349"/>
      <c r="BK439" s="349"/>
      <c r="BL439" s="349"/>
      <c r="BM439" s="349"/>
      <c r="BN439" s="349"/>
      <c r="BO439" s="349"/>
      <c r="BP439" s="349"/>
      <c r="BQ439" s="349"/>
      <c r="BR439" s="349"/>
      <c r="BS439" s="349"/>
    </row>
    <row r="440" spans="1:71" x14ac:dyDescent="0.3">
      <c r="A440" s="349"/>
      <c r="B440" s="349"/>
      <c r="C440" s="349"/>
      <c r="D440" s="349"/>
      <c r="E440" s="349"/>
      <c r="F440" s="349"/>
      <c r="G440" s="349"/>
      <c r="H440" s="349"/>
      <c r="I440" s="349"/>
      <c r="J440" s="349"/>
      <c r="K440" s="349"/>
      <c r="L440" s="349"/>
      <c r="M440" s="349"/>
      <c r="N440" s="349"/>
      <c r="O440" s="349"/>
      <c r="P440" s="349"/>
      <c r="Q440" s="349"/>
      <c r="R440" s="349"/>
      <c r="S440" s="349"/>
      <c r="T440" s="349"/>
      <c r="U440" s="349"/>
      <c r="V440" s="349"/>
      <c r="W440" s="349"/>
      <c r="X440" s="349"/>
      <c r="Y440" s="349"/>
      <c r="Z440" s="349"/>
      <c r="AA440" s="349"/>
      <c r="AB440" s="349"/>
      <c r="AC440" s="349"/>
      <c r="AD440" s="349"/>
      <c r="AE440" s="349"/>
      <c r="AF440" s="349"/>
      <c r="AG440" s="349"/>
      <c r="AH440" s="349"/>
      <c r="AI440" s="349"/>
      <c r="AJ440" s="349"/>
      <c r="AK440" s="349"/>
      <c r="AL440" s="349"/>
      <c r="AM440" s="349"/>
      <c r="AN440" s="349"/>
      <c r="AO440" s="349"/>
      <c r="AP440" s="349"/>
      <c r="AQ440" s="349"/>
      <c r="AR440" s="349"/>
      <c r="AS440" s="349"/>
      <c r="AT440" s="349"/>
      <c r="AU440" s="349"/>
      <c r="AV440" s="349"/>
      <c r="AW440" s="349"/>
      <c r="AX440" s="349"/>
      <c r="AY440" s="349"/>
      <c r="AZ440" s="349"/>
      <c r="BA440" s="349"/>
      <c r="BB440" s="349"/>
      <c r="BC440" s="349"/>
      <c r="BD440" s="349"/>
      <c r="BE440" s="349"/>
      <c r="BF440" s="349"/>
      <c r="BG440" s="349"/>
      <c r="BH440" s="349"/>
      <c r="BI440" s="349"/>
      <c r="BJ440" s="349"/>
      <c r="BK440" s="349"/>
      <c r="BL440" s="349"/>
      <c r="BM440" s="349"/>
      <c r="BN440" s="349"/>
      <c r="BO440" s="349"/>
      <c r="BP440" s="349"/>
      <c r="BQ440" s="349"/>
      <c r="BR440" s="349"/>
      <c r="BS440" s="349"/>
    </row>
    <row r="441" spans="1:71" x14ac:dyDescent="0.3">
      <c r="A441" s="349"/>
      <c r="B441" s="349"/>
      <c r="C441" s="349"/>
      <c r="D441" s="349"/>
      <c r="E441" s="349"/>
      <c r="F441" s="349"/>
      <c r="G441" s="349"/>
      <c r="H441" s="349"/>
      <c r="I441" s="349"/>
      <c r="J441" s="349"/>
      <c r="K441" s="349"/>
      <c r="L441" s="349"/>
      <c r="M441" s="349"/>
      <c r="N441" s="349"/>
      <c r="O441" s="349"/>
      <c r="P441" s="349"/>
      <c r="Q441" s="349"/>
      <c r="R441" s="349"/>
      <c r="S441" s="349"/>
      <c r="T441" s="349"/>
      <c r="U441" s="349"/>
      <c r="V441" s="349"/>
      <c r="W441" s="349"/>
      <c r="X441" s="349"/>
      <c r="Y441" s="349"/>
      <c r="Z441" s="349"/>
      <c r="AA441" s="349"/>
      <c r="AB441" s="349"/>
      <c r="AC441" s="349"/>
      <c r="AD441" s="349"/>
      <c r="AE441" s="349"/>
      <c r="AF441" s="349"/>
      <c r="AG441" s="349"/>
      <c r="AH441" s="349"/>
      <c r="AI441" s="349"/>
      <c r="AJ441" s="349"/>
      <c r="AK441" s="349"/>
      <c r="AL441" s="349"/>
      <c r="AM441" s="349"/>
      <c r="AN441" s="349"/>
      <c r="AO441" s="349"/>
      <c r="AP441" s="349"/>
      <c r="AQ441" s="349"/>
      <c r="AR441" s="349"/>
      <c r="AS441" s="349"/>
      <c r="AT441" s="349"/>
      <c r="AU441" s="349"/>
      <c r="AV441" s="349"/>
      <c r="AW441" s="349"/>
      <c r="AX441" s="349"/>
      <c r="AY441" s="349"/>
      <c r="AZ441" s="349"/>
      <c r="BA441" s="349"/>
      <c r="BB441" s="349"/>
      <c r="BC441" s="349"/>
      <c r="BD441" s="349"/>
      <c r="BE441" s="349"/>
      <c r="BF441" s="349"/>
      <c r="BG441" s="349"/>
      <c r="BH441" s="349"/>
      <c r="BI441" s="349"/>
      <c r="BJ441" s="349"/>
      <c r="BK441" s="349"/>
      <c r="BL441" s="349"/>
      <c r="BM441" s="349"/>
      <c r="BN441" s="349"/>
      <c r="BO441" s="349"/>
      <c r="BP441" s="349"/>
      <c r="BQ441" s="349"/>
      <c r="BR441" s="349"/>
      <c r="BS441" s="349"/>
    </row>
    <row r="442" spans="1:71" x14ac:dyDescent="0.3">
      <c r="A442" s="349"/>
      <c r="B442" s="349"/>
      <c r="C442" s="349"/>
      <c r="D442" s="349"/>
      <c r="E442" s="349"/>
      <c r="F442" s="349"/>
      <c r="G442" s="349"/>
      <c r="H442" s="349"/>
      <c r="I442" s="349"/>
      <c r="J442" s="349"/>
      <c r="K442" s="349"/>
      <c r="L442" s="349"/>
      <c r="M442" s="349"/>
      <c r="N442" s="349"/>
      <c r="O442" s="349"/>
      <c r="P442" s="349"/>
      <c r="Q442" s="349"/>
      <c r="R442" s="349"/>
      <c r="S442" s="349"/>
      <c r="T442" s="349"/>
      <c r="U442" s="349"/>
      <c r="V442" s="349"/>
      <c r="W442" s="349"/>
      <c r="X442" s="349"/>
      <c r="Y442" s="349"/>
      <c r="Z442" s="349"/>
      <c r="AA442" s="349"/>
      <c r="AB442" s="349"/>
      <c r="AC442" s="349"/>
      <c r="AD442" s="349"/>
      <c r="AE442" s="349"/>
      <c r="AF442" s="349"/>
      <c r="AG442" s="349"/>
      <c r="AH442" s="349"/>
      <c r="AI442" s="349"/>
      <c r="AJ442" s="349"/>
      <c r="AK442" s="349"/>
      <c r="AL442" s="349"/>
      <c r="AM442" s="349"/>
      <c r="AN442" s="349"/>
      <c r="AO442" s="349"/>
      <c r="AP442" s="349"/>
      <c r="AQ442" s="349"/>
      <c r="AR442" s="349"/>
      <c r="AS442" s="349"/>
      <c r="AT442" s="349"/>
      <c r="AU442" s="349"/>
      <c r="AV442" s="349"/>
      <c r="AW442" s="349"/>
      <c r="AX442" s="349"/>
      <c r="AY442" s="349"/>
      <c r="AZ442" s="349"/>
      <c r="BA442" s="349"/>
      <c r="BB442" s="349"/>
      <c r="BC442" s="349"/>
      <c r="BD442" s="349"/>
      <c r="BE442" s="349"/>
      <c r="BF442" s="349"/>
      <c r="BG442" s="349"/>
      <c r="BH442" s="349"/>
      <c r="BI442" s="349"/>
      <c r="BJ442" s="349"/>
      <c r="BK442" s="349"/>
      <c r="BL442" s="349"/>
      <c r="BM442" s="349"/>
      <c r="BN442" s="349"/>
      <c r="BO442" s="349"/>
      <c r="BP442" s="349"/>
      <c r="BQ442" s="349"/>
      <c r="BR442" s="349"/>
      <c r="BS442" s="349"/>
    </row>
    <row r="443" spans="1:71" x14ac:dyDescent="0.3">
      <c r="A443" s="349"/>
      <c r="B443" s="349"/>
      <c r="C443" s="349"/>
      <c r="D443" s="349"/>
      <c r="E443" s="349"/>
      <c r="F443" s="349"/>
      <c r="G443" s="349"/>
      <c r="H443" s="349"/>
      <c r="I443" s="349"/>
      <c r="J443" s="349"/>
      <c r="K443" s="349"/>
      <c r="L443" s="349"/>
      <c r="M443" s="349"/>
      <c r="N443" s="349"/>
      <c r="O443" s="349"/>
      <c r="P443" s="349"/>
      <c r="Q443" s="349"/>
      <c r="R443" s="349"/>
      <c r="S443" s="349"/>
      <c r="T443" s="349"/>
      <c r="U443" s="349"/>
      <c r="V443" s="349"/>
      <c r="W443" s="349"/>
      <c r="X443" s="349"/>
      <c r="Y443" s="349"/>
      <c r="Z443" s="349"/>
      <c r="AA443" s="349"/>
      <c r="AB443" s="349"/>
      <c r="AC443" s="349"/>
      <c r="AD443" s="349"/>
      <c r="AE443" s="349"/>
      <c r="AF443" s="349"/>
      <c r="AG443" s="349"/>
      <c r="AH443" s="349"/>
      <c r="AI443" s="349"/>
      <c r="AJ443" s="349"/>
      <c r="AK443" s="349"/>
      <c r="AL443" s="349"/>
      <c r="AM443" s="349"/>
      <c r="AN443" s="349"/>
      <c r="AO443" s="349"/>
      <c r="AP443" s="349"/>
      <c r="AQ443" s="349"/>
      <c r="AR443" s="349"/>
      <c r="AS443" s="349"/>
      <c r="AT443" s="349"/>
      <c r="AU443" s="349"/>
      <c r="AV443" s="349"/>
      <c r="AW443" s="349"/>
      <c r="AX443" s="349"/>
      <c r="AY443" s="349"/>
      <c r="AZ443" s="349"/>
      <c r="BA443" s="349"/>
      <c r="BB443" s="349"/>
      <c r="BC443" s="349"/>
      <c r="BD443" s="349"/>
      <c r="BE443" s="349"/>
      <c r="BF443" s="349"/>
      <c r="BG443" s="349"/>
      <c r="BH443" s="349"/>
      <c r="BI443" s="349"/>
      <c r="BJ443" s="349"/>
      <c r="BK443" s="349"/>
      <c r="BL443" s="349"/>
      <c r="BM443" s="349"/>
      <c r="BN443" s="349"/>
      <c r="BO443" s="349"/>
      <c r="BP443" s="349"/>
      <c r="BQ443" s="349"/>
      <c r="BR443" s="349"/>
      <c r="BS443" s="349"/>
    </row>
    <row r="444" spans="1:71" x14ac:dyDescent="0.3">
      <c r="A444" s="349"/>
      <c r="B444" s="349"/>
      <c r="C444" s="349"/>
      <c r="D444" s="349"/>
      <c r="E444" s="349"/>
      <c r="F444" s="349"/>
      <c r="G444" s="349"/>
      <c r="H444" s="349"/>
      <c r="I444" s="349"/>
      <c r="J444" s="349"/>
      <c r="K444" s="349"/>
      <c r="L444" s="349"/>
      <c r="M444" s="349"/>
      <c r="N444" s="349"/>
      <c r="O444" s="349"/>
      <c r="P444" s="349"/>
      <c r="Q444" s="349"/>
      <c r="R444" s="349"/>
      <c r="S444" s="349"/>
      <c r="T444" s="349"/>
      <c r="U444" s="349"/>
      <c r="V444" s="349"/>
      <c r="W444" s="349"/>
      <c r="X444" s="349"/>
      <c r="Y444" s="349"/>
      <c r="Z444" s="349"/>
      <c r="AA444" s="349"/>
      <c r="AB444" s="349"/>
      <c r="AC444" s="349"/>
      <c r="AD444" s="349"/>
      <c r="AE444" s="349"/>
      <c r="AF444" s="349"/>
      <c r="AG444" s="349"/>
      <c r="AH444" s="349"/>
      <c r="AI444" s="349"/>
      <c r="AJ444" s="349"/>
      <c r="AK444" s="349"/>
      <c r="AL444" s="349"/>
      <c r="AM444" s="349"/>
      <c r="AN444" s="349"/>
      <c r="AO444" s="349"/>
      <c r="AP444" s="349"/>
      <c r="AQ444" s="349"/>
      <c r="AR444" s="349"/>
      <c r="AS444" s="349"/>
      <c r="AT444" s="349"/>
      <c r="AU444" s="349"/>
      <c r="AV444" s="349"/>
      <c r="AW444" s="349"/>
      <c r="AX444" s="349"/>
      <c r="AY444" s="349"/>
      <c r="AZ444" s="349"/>
      <c r="BA444" s="349"/>
      <c r="BB444" s="349"/>
      <c r="BC444" s="349"/>
      <c r="BD444" s="349"/>
      <c r="BE444" s="349"/>
      <c r="BF444" s="349"/>
      <c r="BG444" s="349"/>
      <c r="BH444" s="349"/>
      <c r="BI444" s="349"/>
      <c r="BJ444" s="349"/>
      <c r="BK444" s="349"/>
      <c r="BL444" s="349"/>
      <c r="BM444" s="349"/>
      <c r="BN444" s="349"/>
      <c r="BO444" s="349"/>
      <c r="BP444" s="349"/>
      <c r="BQ444" s="349"/>
      <c r="BR444" s="349"/>
      <c r="BS444" s="349"/>
    </row>
    <row r="445" spans="1:71" x14ac:dyDescent="0.3">
      <c r="A445" s="349"/>
      <c r="B445" s="349"/>
      <c r="C445" s="349"/>
      <c r="D445" s="349"/>
      <c r="E445" s="349"/>
      <c r="F445" s="349"/>
      <c r="G445" s="349"/>
      <c r="H445" s="349"/>
      <c r="I445" s="349"/>
      <c r="J445" s="349"/>
      <c r="K445" s="349"/>
      <c r="L445" s="349"/>
      <c r="M445" s="349"/>
      <c r="N445" s="349"/>
      <c r="O445" s="349"/>
      <c r="P445" s="349"/>
      <c r="Q445" s="349"/>
      <c r="R445" s="349"/>
      <c r="S445" s="349"/>
      <c r="T445" s="349"/>
      <c r="U445" s="349"/>
      <c r="V445" s="349"/>
      <c r="W445" s="349"/>
      <c r="X445" s="349"/>
      <c r="Y445" s="349"/>
      <c r="Z445" s="349"/>
      <c r="AA445" s="349"/>
      <c r="AB445" s="349"/>
      <c r="AC445" s="349"/>
      <c r="AD445" s="349"/>
      <c r="AE445" s="349"/>
      <c r="AF445" s="349"/>
      <c r="AG445" s="349"/>
      <c r="AH445" s="349"/>
      <c r="AI445" s="349"/>
      <c r="AJ445" s="349"/>
      <c r="AK445" s="349"/>
      <c r="AL445" s="349"/>
      <c r="AM445" s="349"/>
      <c r="AN445" s="349"/>
      <c r="AO445" s="349"/>
      <c r="AP445" s="349"/>
      <c r="AQ445" s="349"/>
      <c r="AR445" s="349"/>
      <c r="AS445" s="349"/>
      <c r="AT445" s="349"/>
      <c r="AU445" s="349"/>
      <c r="AV445" s="349"/>
      <c r="AW445" s="349"/>
      <c r="AX445" s="349"/>
      <c r="AY445" s="349"/>
      <c r="AZ445" s="349"/>
      <c r="BA445" s="349"/>
      <c r="BB445" s="349"/>
      <c r="BC445" s="349"/>
      <c r="BD445" s="349"/>
      <c r="BE445" s="349"/>
      <c r="BF445" s="349"/>
      <c r="BG445" s="349"/>
      <c r="BH445" s="349"/>
      <c r="BI445" s="349"/>
      <c r="BJ445" s="349"/>
      <c r="BK445" s="349"/>
      <c r="BL445" s="349"/>
      <c r="BM445" s="349"/>
      <c r="BN445" s="349"/>
      <c r="BO445" s="349"/>
      <c r="BP445" s="349"/>
      <c r="BQ445" s="349"/>
      <c r="BR445" s="349"/>
      <c r="BS445" s="349"/>
    </row>
    <row r="446" spans="1:71" x14ac:dyDescent="0.3">
      <c r="A446" s="349"/>
      <c r="B446" s="349"/>
      <c r="C446" s="349"/>
      <c r="D446" s="349"/>
      <c r="E446" s="349"/>
      <c r="F446" s="349"/>
      <c r="G446" s="349"/>
      <c r="H446" s="349"/>
      <c r="I446" s="349"/>
      <c r="J446" s="349"/>
      <c r="K446" s="349"/>
      <c r="L446" s="349"/>
      <c r="M446" s="349"/>
      <c r="N446" s="349"/>
      <c r="O446" s="349"/>
      <c r="P446" s="349"/>
      <c r="Q446" s="349"/>
      <c r="R446" s="349"/>
      <c r="S446" s="349"/>
      <c r="T446" s="349"/>
      <c r="U446" s="349"/>
      <c r="V446" s="349"/>
      <c r="W446" s="349"/>
      <c r="X446" s="349"/>
      <c r="Y446" s="349"/>
      <c r="Z446" s="349"/>
      <c r="AA446" s="349"/>
      <c r="AB446" s="349"/>
      <c r="AC446" s="349"/>
      <c r="AD446" s="349"/>
      <c r="AE446" s="349"/>
      <c r="AF446" s="349"/>
      <c r="AG446" s="349"/>
      <c r="AH446" s="349"/>
      <c r="AI446" s="349"/>
      <c r="AJ446" s="349"/>
      <c r="AK446" s="349"/>
      <c r="AL446" s="349"/>
      <c r="AM446" s="349"/>
      <c r="AN446" s="349"/>
      <c r="AO446" s="349"/>
      <c r="AP446" s="349"/>
      <c r="AQ446" s="349"/>
      <c r="AR446" s="349"/>
      <c r="AS446" s="349"/>
      <c r="AT446" s="349"/>
      <c r="AU446" s="349"/>
      <c r="AV446" s="349"/>
      <c r="AW446" s="349"/>
      <c r="AX446" s="349"/>
      <c r="AY446" s="349"/>
      <c r="AZ446" s="349"/>
      <c r="BA446" s="349"/>
      <c r="BB446" s="349"/>
      <c r="BC446" s="349"/>
      <c r="BD446" s="349"/>
      <c r="BE446" s="349"/>
      <c r="BF446" s="349"/>
      <c r="BG446" s="349"/>
      <c r="BH446" s="349"/>
      <c r="BI446" s="349"/>
      <c r="BJ446" s="349"/>
      <c r="BK446" s="349"/>
      <c r="BL446" s="349"/>
      <c r="BM446" s="349"/>
      <c r="BN446" s="349"/>
      <c r="BO446" s="349"/>
      <c r="BP446" s="349"/>
      <c r="BQ446" s="349"/>
      <c r="BR446" s="349"/>
      <c r="BS446" s="349"/>
    </row>
    <row r="447" spans="1:71" x14ac:dyDescent="0.3">
      <c r="A447" s="349"/>
      <c r="B447" s="349"/>
      <c r="C447" s="349"/>
      <c r="D447" s="349"/>
      <c r="E447" s="349"/>
      <c r="F447" s="349"/>
      <c r="G447" s="349"/>
      <c r="H447" s="349"/>
      <c r="I447" s="349"/>
      <c r="J447" s="349"/>
      <c r="K447" s="349"/>
      <c r="L447" s="349"/>
      <c r="M447" s="349"/>
      <c r="N447" s="349"/>
      <c r="O447" s="349"/>
      <c r="P447" s="349"/>
      <c r="Q447" s="349"/>
      <c r="R447" s="349"/>
      <c r="S447" s="349"/>
      <c r="T447" s="349"/>
      <c r="U447" s="349"/>
      <c r="V447" s="349"/>
      <c r="W447" s="349"/>
      <c r="X447" s="349"/>
      <c r="Y447" s="349"/>
      <c r="Z447" s="349"/>
      <c r="AA447" s="349"/>
      <c r="AB447" s="349"/>
      <c r="AC447" s="349"/>
      <c r="AD447" s="349"/>
      <c r="AE447" s="349"/>
      <c r="AF447" s="349"/>
      <c r="AG447" s="349"/>
      <c r="AH447" s="349"/>
      <c r="AI447" s="349"/>
      <c r="AJ447" s="349"/>
      <c r="AK447" s="349"/>
      <c r="AL447" s="349"/>
      <c r="AM447" s="349"/>
      <c r="AN447" s="349"/>
      <c r="AO447" s="349"/>
      <c r="AP447" s="349"/>
      <c r="AQ447" s="349"/>
      <c r="AR447" s="349"/>
      <c r="AS447" s="349"/>
      <c r="AT447" s="349"/>
      <c r="AU447" s="349"/>
      <c r="AV447" s="349"/>
      <c r="AW447" s="349"/>
      <c r="AX447" s="349"/>
      <c r="AY447" s="349"/>
      <c r="AZ447" s="349"/>
      <c r="BA447" s="349"/>
      <c r="BB447" s="349"/>
      <c r="BC447" s="349"/>
      <c r="BD447" s="349"/>
      <c r="BE447" s="349"/>
      <c r="BF447" s="349"/>
      <c r="BG447" s="349"/>
      <c r="BH447" s="349"/>
      <c r="BI447" s="349"/>
      <c r="BJ447" s="349"/>
      <c r="BK447" s="349"/>
      <c r="BL447" s="349"/>
      <c r="BM447" s="349"/>
      <c r="BN447" s="349"/>
      <c r="BO447" s="349"/>
      <c r="BP447" s="349"/>
      <c r="BQ447" s="349"/>
      <c r="BR447" s="349"/>
      <c r="BS447" s="349"/>
    </row>
    <row r="448" spans="1:71" x14ac:dyDescent="0.3">
      <c r="A448" s="349"/>
      <c r="B448" s="349"/>
      <c r="C448" s="349"/>
      <c r="D448" s="349"/>
      <c r="E448" s="349"/>
      <c r="F448" s="349"/>
      <c r="G448" s="349"/>
      <c r="H448" s="349"/>
      <c r="I448" s="349"/>
      <c r="J448" s="349"/>
      <c r="K448" s="349"/>
      <c r="L448" s="349"/>
      <c r="M448" s="349"/>
      <c r="N448" s="349"/>
      <c r="O448" s="349"/>
      <c r="P448" s="349"/>
      <c r="Q448" s="349"/>
      <c r="R448" s="349"/>
      <c r="S448" s="349"/>
      <c r="T448" s="349"/>
      <c r="U448" s="349"/>
      <c r="V448" s="349"/>
      <c r="W448" s="349"/>
      <c r="X448" s="349"/>
      <c r="Y448" s="349"/>
      <c r="Z448" s="349"/>
      <c r="AA448" s="349"/>
      <c r="AB448" s="349"/>
      <c r="AC448" s="349"/>
      <c r="AD448" s="349"/>
      <c r="AE448" s="349"/>
      <c r="AF448" s="349"/>
      <c r="AG448" s="349"/>
      <c r="AH448" s="349"/>
      <c r="AI448" s="349"/>
      <c r="AJ448" s="349"/>
      <c r="AK448" s="349"/>
      <c r="AL448" s="349"/>
      <c r="AM448" s="349"/>
      <c r="AN448" s="349"/>
      <c r="AO448" s="349"/>
      <c r="AP448" s="349"/>
      <c r="AQ448" s="349"/>
      <c r="AR448" s="349"/>
      <c r="AS448" s="349"/>
      <c r="AT448" s="349"/>
      <c r="AU448" s="349"/>
      <c r="AV448" s="349"/>
      <c r="AW448" s="349"/>
      <c r="AX448" s="349"/>
      <c r="AY448" s="349"/>
      <c r="AZ448" s="349"/>
      <c r="BA448" s="349"/>
      <c r="BB448" s="349"/>
      <c r="BC448" s="349"/>
      <c r="BD448" s="349"/>
      <c r="BE448" s="349"/>
      <c r="BF448" s="349"/>
      <c r="BG448" s="349"/>
      <c r="BH448" s="349"/>
      <c r="BI448" s="349"/>
      <c r="BJ448" s="349"/>
      <c r="BK448" s="349"/>
      <c r="BL448" s="349"/>
      <c r="BM448" s="349"/>
      <c r="BN448" s="349"/>
      <c r="BO448" s="349"/>
      <c r="BP448" s="349"/>
      <c r="BQ448" s="349"/>
      <c r="BR448" s="349"/>
      <c r="BS448" s="349"/>
    </row>
    <row r="449" spans="1:71" x14ac:dyDescent="0.3">
      <c r="A449" s="349"/>
      <c r="B449" s="349"/>
      <c r="C449" s="349"/>
      <c r="D449" s="349"/>
      <c r="E449" s="349"/>
      <c r="F449" s="349"/>
      <c r="G449" s="349"/>
      <c r="H449" s="349"/>
      <c r="I449" s="349"/>
      <c r="J449" s="349"/>
      <c r="K449" s="349"/>
      <c r="L449" s="349"/>
      <c r="M449" s="349"/>
      <c r="N449" s="349"/>
      <c r="O449" s="349"/>
      <c r="P449" s="349"/>
      <c r="Q449" s="349"/>
      <c r="R449" s="349"/>
      <c r="S449" s="349"/>
      <c r="T449" s="349"/>
      <c r="U449" s="349"/>
      <c r="V449" s="349"/>
      <c r="W449" s="349"/>
      <c r="X449" s="349"/>
      <c r="Y449" s="349"/>
      <c r="Z449" s="349"/>
      <c r="AA449" s="349"/>
      <c r="AB449" s="349"/>
      <c r="AC449" s="349"/>
      <c r="AD449" s="349"/>
      <c r="AE449" s="349"/>
      <c r="AF449" s="349"/>
      <c r="AG449" s="349"/>
      <c r="AH449" s="349"/>
      <c r="AI449" s="349"/>
      <c r="AJ449" s="349"/>
      <c r="AK449" s="349"/>
      <c r="AL449" s="349"/>
      <c r="AM449" s="349"/>
      <c r="AN449" s="349"/>
      <c r="AO449" s="349"/>
      <c r="AP449" s="349"/>
      <c r="AQ449" s="349"/>
      <c r="AR449" s="349"/>
      <c r="AS449" s="349"/>
      <c r="AT449" s="349"/>
      <c r="AU449" s="349"/>
      <c r="AV449" s="349"/>
      <c r="AW449" s="349"/>
      <c r="AX449" s="349"/>
      <c r="AY449" s="349"/>
      <c r="AZ449" s="349"/>
      <c r="BA449" s="349"/>
      <c r="BB449" s="349"/>
      <c r="BC449" s="349"/>
      <c r="BD449" s="349"/>
      <c r="BE449" s="349"/>
      <c r="BF449" s="349"/>
      <c r="BG449" s="349"/>
      <c r="BH449" s="349"/>
      <c r="BI449" s="349"/>
      <c r="BJ449" s="349"/>
      <c r="BK449" s="349"/>
      <c r="BL449" s="349"/>
      <c r="BM449" s="349"/>
      <c r="BN449" s="349"/>
      <c r="BO449" s="349"/>
      <c r="BP449" s="349"/>
      <c r="BQ449" s="349"/>
      <c r="BR449" s="349"/>
      <c r="BS449" s="349"/>
    </row>
    <row r="450" spans="1:71" x14ac:dyDescent="0.3">
      <c r="A450" s="349"/>
      <c r="B450" s="349"/>
      <c r="C450" s="349"/>
      <c r="D450" s="349"/>
      <c r="E450" s="349"/>
      <c r="F450" s="349"/>
      <c r="G450" s="349"/>
      <c r="H450" s="349"/>
      <c r="I450" s="349"/>
      <c r="J450" s="349"/>
      <c r="K450" s="349"/>
      <c r="L450" s="349"/>
      <c r="M450" s="349"/>
      <c r="N450" s="349"/>
      <c r="O450" s="349"/>
      <c r="P450" s="349"/>
      <c r="Q450" s="349"/>
      <c r="R450" s="349"/>
      <c r="S450" s="349"/>
      <c r="T450" s="349"/>
      <c r="U450" s="349"/>
      <c r="V450" s="349"/>
      <c r="W450" s="349"/>
      <c r="X450" s="349"/>
      <c r="Y450" s="349"/>
      <c r="Z450" s="349"/>
      <c r="AA450" s="349"/>
      <c r="AB450" s="349"/>
      <c r="AC450" s="349"/>
      <c r="AD450" s="349"/>
      <c r="AE450" s="349"/>
      <c r="AF450" s="349"/>
      <c r="AG450" s="349"/>
      <c r="AH450" s="349"/>
      <c r="AI450" s="349"/>
      <c r="AJ450" s="349"/>
      <c r="AK450" s="349"/>
      <c r="AL450" s="349"/>
      <c r="AM450" s="349"/>
      <c r="AN450" s="349"/>
      <c r="AO450" s="349"/>
      <c r="AP450" s="349"/>
      <c r="AQ450" s="349"/>
      <c r="AR450" s="349"/>
      <c r="AS450" s="349"/>
      <c r="AT450" s="349"/>
      <c r="AU450" s="349"/>
      <c r="AV450" s="349"/>
      <c r="AW450" s="349"/>
      <c r="AX450" s="349"/>
      <c r="AY450" s="349"/>
      <c r="AZ450" s="349"/>
      <c r="BA450" s="349"/>
      <c r="BB450" s="349"/>
      <c r="BC450" s="349"/>
      <c r="BD450" s="349"/>
      <c r="BE450" s="349"/>
      <c r="BF450" s="349"/>
      <c r="BG450" s="349"/>
      <c r="BH450" s="349"/>
      <c r="BI450" s="349"/>
      <c r="BJ450" s="349"/>
      <c r="BK450" s="349"/>
      <c r="BL450" s="349"/>
      <c r="BM450" s="349"/>
      <c r="BN450" s="349"/>
      <c r="BO450" s="349"/>
      <c r="BP450" s="349"/>
      <c r="BQ450" s="349"/>
      <c r="BR450" s="349"/>
      <c r="BS450" s="349"/>
    </row>
    <row r="451" spans="1:71" x14ac:dyDescent="0.3">
      <c r="A451" s="349"/>
      <c r="B451" s="349"/>
      <c r="C451" s="349"/>
      <c r="D451" s="349"/>
      <c r="E451" s="349"/>
      <c r="F451" s="349"/>
      <c r="G451" s="349"/>
      <c r="H451" s="349"/>
      <c r="I451" s="349"/>
      <c r="J451" s="349"/>
      <c r="K451" s="349"/>
      <c r="L451" s="349"/>
      <c r="M451" s="349"/>
      <c r="N451" s="349"/>
      <c r="O451" s="349"/>
      <c r="P451" s="349"/>
      <c r="Q451" s="349"/>
      <c r="R451" s="349"/>
      <c r="S451" s="349"/>
      <c r="T451" s="349"/>
      <c r="U451" s="349"/>
      <c r="V451" s="349"/>
      <c r="W451" s="349"/>
      <c r="X451" s="349"/>
      <c r="Y451" s="349"/>
      <c r="Z451" s="349"/>
      <c r="AA451" s="349"/>
      <c r="AB451" s="349"/>
      <c r="AC451" s="349"/>
      <c r="AD451" s="349"/>
      <c r="AE451" s="349"/>
      <c r="AF451" s="349"/>
      <c r="AG451" s="349"/>
      <c r="AH451" s="349"/>
      <c r="AI451" s="349"/>
      <c r="AJ451" s="349"/>
      <c r="AK451" s="349"/>
      <c r="AL451" s="349"/>
      <c r="AM451" s="349"/>
      <c r="AN451" s="349"/>
      <c r="AO451" s="349"/>
      <c r="AP451" s="349"/>
      <c r="AQ451" s="349"/>
      <c r="AR451" s="349"/>
      <c r="AS451" s="349"/>
      <c r="AT451" s="349"/>
      <c r="AU451" s="349"/>
      <c r="AV451" s="349"/>
      <c r="AW451" s="349"/>
      <c r="AX451" s="349"/>
      <c r="AY451" s="349"/>
      <c r="AZ451" s="349"/>
      <c r="BA451" s="349"/>
      <c r="BB451" s="349"/>
      <c r="BC451" s="349"/>
      <c r="BD451" s="349"/>
      <c r="BE451" s="349"/>
      <c r="BF451" s="349"/>
      <c r="BG451" s="349"/>
      <c r="BH451" s="349"/>
      <c r="BI451" s="349"/>
      <c r="BJ451" s="349"/>
      <c r="BK451" s="349"/>
      <c r="BL451" s="349"/>
      <c r="BM451" s="349"/>
      <c r="BN451" s="349"/>
      <c r="BO451" s="349"/>
      <c r="BP451" s="349"/>
      <c r="BQ451" s="349"/>
      <c r="BR451" s="349"/>
      <c r="BS451" s="349"/>
    </row>
    <row r="452" spans="1:71" x14ac:dyDescent="0.3">
      <c r="A452" s="349"/>
      <c r="B452" s="349"/>
      <c r="C452" s="349"/>
      <c r="D452" s="349"/>
      <c r="E452" s="349"/>
      <c r="F452" s="349"/>
      <c r="G452" s="349"/>
      <c r="H452" s="349"/>
      <c r="I452" s="349"/>
      <c r="J452" s="349"/>
      <c r="K452" s="349"/>
      <c r="L452" s="349"/>
      <c r="M452" s="349"/>
      <c r="N452" s="349"/>
      <c r="O452" s="349"/>
      <c r="P452" s="349"/>
      <c r="Q452" s="349"/>
      <c r="R452" s="349"/>
      <c r="S452" s="349"/>
      <c r="T452" s="349"/>
      <c r="U452" s="349"/>
      <c r="V452" s="349"/>
      <c r="W452" s="349"/>
      <c r="X452" s="349"/>
      <c r="Y452" s="349"/>
      <c r="Z452" s="349"/>
      <c r="AA452" s="349"/>
      <c r="AB452" s="349"/>
      <c r="AC452" s="349"/>
      <c r="AD452" s="349"/>
      <c r="AE452" s="349"/>
      <c r="AF452" s="349"/>
      <c r="AG452" s="349"/>
      <c r="AH452" s="349"/>
      <c r="AI452" s="349"/>
      <c r="AJ452" s="349"/>
      <c r="AK452" s="349"/>
      <c r="AL452" s="349"/>
      <c r="AM452" s="349"/>
      <c r="AN452" s="349"/>
      <c r="AO452" s="349"/>
      <c r="AP452" s="349"/>
      <c r="AQ452" s="349"/>
      <c r="AR452" s="349"/>
      <c r="AS452" s="349"/>
      <c r="AT452" s="349"/>
      <c r="AU452" s="349"/>
      <c r="AV452" s="349"/>
      <c r="AW452" s="349"/>
      <c r="AX452" s="349"/>
      <c r="AY452" s="349"/>
      <c r="AZ452" s="349"/>
      <c r="BA452" s="349"/>
      <c r="BB452" s="349"/>
      <c r="BC452" s="349"/>
      <c r="BD452" s="349"/>
      <c r="BE452" s="349"/>
      <c r="BF452" s="349"/>
      <c r="BG452" s="349"/>
      <c r="BH452" s="349"/>
      <c r="BI452" s="349"/>
      <c r="BJ452" s="349"/>
      <c r="BK452" s="349"/>
      <c r="BL452" s="349"/>
      <c r="BM452" s="349"/>
      <c r="BN452" s="349"/>
      <c r="BO452" s="349"/>
      <c r="BP452" s="349"/>
      <c r="BQ452" s="349"/>
      <c r="BR452" s="349"/>
      <c r="BS452" s="349"/>
    </row>
    <row r="453" spans="1:71" x14ac:dyDescent="0.3">
      <c r="A453" s="349"/>
      <c r="B453" s="349"/>
      <c r="C453" s="349"/>
      <c r="D453" s="349"/>
      <c r="E453" s="349"/>
      <c r="F453" s="349"/>
      <c r="G453" s="349"/>
      <c r="H453" s="349"/>
      <c r="I453" s="349"/>
      <c r="J453" s="349"/>
      <c r="K453" s="349"/>
      <c r="L453" s="349"/>
      <c r="M453" s="349"/>
      <c r="N453" s="349"/>
      <c r="O453" s="349"/>
      <c r="P453" s="349"/>
      <c r="Q453" s="349"/>
      <c r="R453" s="349"/>
      <c r="S453" s="349"/>
      <c r="T453" s="349"/>
      <c r="U453" s="349"/>
      <c r="V453" s="349"/>
      <c r="W453" s="349"/>
      <c r="X453" s="349"/>
      <c r="Y453" s="349"/>
      <c r="Z453" s="349"/>
      <c r="AA453" s="349"/>
      <c r="AB453" s="349"/>
      <c r="AC453" s="349"/>
      <c r="AD453" s="349"/>
      <c r="AE453" s="349"/>
      <c r="AF453" s="349"/>
      <c r="AG453" s="349"/>
      <c r="AH453" s="349"/>
      <c r="AI453" s="349"/>
      <c r="AJ453" s="349"/>
      <c r="AK453" s="349"/>
      <c r="AL453" s="349"/>
      <c r="AM453" s="349"/>
      <c r="AN453" s="349"/>
      <c r="AO453" s="349"/>
      <c r="AP453" s="349"/>
      <c r="AQ453" s="349"/>
      <c r="AR453" s="349"/>
      <c r="AS453" s="349"/>
      <c r="AT453" s="349"/>
      <c r="AU453" s="349"/>
      <c r="AV453" s="349"/>
      <c r="AW453" s="349"/>
      <c r="AX453" s="349"/>
      <c r="AY453" s="349"/>
      <c r="AZ453" s="349"/>
      <c r="BA453" s="349"/>
      <c r="BB453" s="349"/>
      <c r="BC453" s="349"/>
      <c r="BD453" s="349"/>
      <c r="BE453" s="349"/>
      <c r="BF453" s="349"/>
      <c r="BG453" s="349"/>
      <c r="BH453" s="349"/>
      <c r="BI453" s="349"/>
      <c r="BJ453" s="349"/>
      <c r="BK453" s="349"/>
      <c r="BL453" s="349"/>
      <c r="BM453" s="349"/>
      <c r="BN453" s="349"/>
      <c r="BO453" s="349"/>
      <c r="BP453" s="349"/>
      <c r="BQ453" s="349"/>
      <c r="BR453" s="349"/>
      <c r="BS453" s="349"/>
    </row>
    <row r="454" spans="1:71" x14ac:dyDescent="0.3">
      <c r="A454" s="349"/>
      <c r="B454" s="349"/>
      <c r="C454" s="349"/>
      <c r="D454" s="349"/>
      <c r="E454" s="349"/>
      <c r="F454" s="349"/>
      <c r="G454" s="349"/>
      <c r="H454" s="349"/>
      <c r="I454" s="349"/>
      <c r="J454" s="349"/>
      <c r="K454" s="349"/>
      <c r="L454" s="349"/>
      <c r="M454" s="349"/>
      <c r="N454" s="349"/>
      <c r="O454" s="349"/>
      <c r="P454" s="349"/>
      <c r="Q454" s="349"/>
      <c r="R454" s="349"/>
      <c r="S454" s="349"/>
      <c r="T454" s="349"/>
      <c r="U454" s="349"/>
      <c r="V454" s="349"/>
      <c r="W454" s="349"/>
      <c r="X454" s="349"/>
      <c r="Y454" s="349"/>
      <c r="Z454" s="349"/>
      <c r="AA454" s="349"/>
      <c r="AB454" s="349"/>
      <c r="AC454" s="349"/>
      <c r="AD454" s="349"/>
      <c r="AE454" s="349"/>
      <c r="AF454" s="349"/>
      <c r="AG454" s="349"/>
      <c r="AH454" s="349"/>
      <c r="AI454" s="349"/>
      <c r="AJ454" s="349"/>
      <c r="AK454" s="349"/>
      <c r="AL454" s="349"/>
      <c r="AM454" s="349"/>
      <c r="AN454" s="349"/>
      <c r="AO454" s="349"/>
      <c r="AP454" s="349"/>
      <c r="AQ454" s="349"/>
      <c r="AR454" s="349"/>
      <c r="AS454" s="349"/>
      <c r="AT454" s="349"/>
      <c r="AU454" s="349"/>
      <c r="AV454" s="349"/>
      <c r="AW454" s="349"/>
      <c r="AX454" s="349"/>
      <c r="AY454" s="349"/>
      <c r="AZ454" s="349"/>
      <c r="BA454" s="349"/>
      <c r="BB454" s="349"/>
      <c r="BC454" s="349"/>
      <c r="BD454" s="349"/>
      <c r="BE454" s="349"/>
      <c r="BF454" s="349"/>
      <c r="BG454" s="349"/>
      <c r="BH454" s="349"/>
      <c r="BI454" s="349"/>
      <c r="BJ454" s="349"/>
      <c r="BK454" s="349"/>
      <c r="BL454" s="349"/>
      <c r="BM454" s="349"/>
      <c r="BN454" s="349"/>
      <c r="BO454" s="349"/>
      <c r="BP454" s="349"/>
      <c r="BQ454" s="349"/>
      <c r="BR454" s="349"/>
      <c r="BS454" s="349"/>
    </row>
    <row r="455" spans="1:71" x14ac:dyDescent="0.3">
      <c r="A455" s="349"/>
      <c r="B455" s="349"/>
      <c r="C455" s="349"/>
      <c r="D455" s="349"/>
      <c r="E455" s="349"/>
      <c r="F455" s="349"/>
      <c r="G455" s="349"/>
      <c r="H455" s="349"/>
      <c r="I455" s="349"/>
      <c r="J455" s="349"/>
      <c r="K455" s="349"/>
      <c r="L455" s="349"/>
      <c r="M455" s="349"/>
      <c r="N455" s="349"/>
      <c r="O455" s="349"/>
      <c r="P455" s="349"/>
      <c r="Q455" s="349"/>
      <c r="R455" s="349"/>
      <c r="S455" s="349"/>
      <c r="T455" s="349"/>
      <c r="U455" s="349"/>
      <c r="V455" s="349"/>
      <c r="W455" s="349"/>
      <c r="X455" s="349"/>
      <c r="Y455" s="349"/>
      <c r="Z455" s="349"/>
      <c r="AA455" s="349"/>
      <c r="AB455" s="349"/>
      <c r="AC455" s="349"/>
      <c r="AD455" s="349"/>
      <c r="AE455" s="349"/>
      <c r="AF455" s="349"/>
      <c r="AG455" s="349"/>
      <c r="AH455" s="349"/>
      <c r="AI455" s="349"/>
      <c r="AJ455" s="349"/>
      <c r="AK455" s="349"/>
      <c r="AL455" s="349"/>
      <c r="AM455" s="349"/>
      <c r="AN455" s="349"/>
      <c r="AO455" s="349"/>
      <c r="AP455" s="349"/>
      <c r="AQ455" s="349"/>
      <c r="AR455" s="349"/>
      <c r="AS455" s="349"/>
      <c r="AT455" s="349"/>
      <c r="AU455" s="349"/>
      <c r="AV455" s="349"/>
      <c r="AW455" s="349"/>
      <c r="AX455" s="349"/>
      <c r="AY455" s="349"/>
      <c r="AZ455" s="349"/>
      <c r="BA455" s="349"/>
      <c r="BB455" s="349"/>
      <c r="BC455" s="349"/>
      <c r="BD455" s="349"/>
      <c r="BE455" s="349"/>
      <c r="BF455" s="349"/>
      <c r="BG455" s="349"/>
      <c r="BH455" s="349"/>
      <c r="BI455" s="349"/>
      <c r="BJ455" s="349"/>
      <c r="BK455" s="349"/>
      <c r="BL455" s="349"/>
      <c r="BM455" s="349"/>
      <c r="BN455" s="349"/>
      <c r="BO455" s="349"/>
      <c r="BP455" s="349"/>
      <c r="BQ455" s="349"/>
      <c r="BR455" s="349"/>
      <c r="BS455" s="349"/>
    </row>
    <row r="456" spans="1:71" x14ac:dyDescent="0.3">
      <c r="A456" s="349"/>
      <c r="B456" s="349"/>
      <c r="C456" s="349"/>
      <c r="D456" s="349"/>
      <c r="E456" s="349"/>
      <c r="F456" s="349"/>
      <c r="G456" s="349"/>
      <c r="H456" s="349"/>
      <c r="I456" s="349"/>
      <c r="J456" s="349"/>
      <c r="K456" s="349"/>
      <c r="L456" s="349"/>
      <c r="M456" s="349"/>
      <c r="N456" s="349"/>
      <c r="O456" s="349"/>
      <c r="P456" s="349"/>
      <c r="Q456" s="349"/>
      <c r="R456" s="349"/>
      <c r="S456" s="349"/>
      <c r="T456" s="349"/>
      <c r="U456" s="349"/>
      <c r="V456" s="349"/>
      <c r="W456" s="349"/>
      <c r="X456" s="349"/>
      <c r="Y456" s="349"/>
      <c r="Z456" s="349"/>
      <c r="AA456" s="349"/>
      <c r="AB456" s="349"/>
      <c r="AC456" s="349"/>
      <c r="AD456" s="349"/>
      <c r="AE456" s="349"/>
      <c r="AF456" s="349"/>
      <c r="AG456" s="349"/>
      <c r="AH456" s="349"/>
      <c r="AI456" s="349"/>
      <c r="AJ456" s="349"/>
      <c r="AK456" s="349"/>
      <c r="AL456" s="349"/>
      <c r="AM456" s="349"/>
      <c r="AN456" s="349"/>
      <c r="AO456" s="349"/>
      <c r="AP456" s="349"/>
      <c r="AQ456" s="349"/>
      <c r="AR456" s="349"/>
      <c r="AS456" s="349"/>
      <c r="AT456" s="349"/>
      <c r="AU456" s="349"/>
      <c r="AV456" s="349"/>
      <c r="AW456" s="349"/>
      <c r="AX456" s="349"/>
      <c r="AY456" s="349"/>
      <c r="AZ456" s="349"/>
      <c r="BA456" s="349"/>
      <c r="BB456" s="349"/>
      <c r="BC456" s="349"/>
      <c r="BD456" s="349"/>
      <c r="BE456" s="349"/>
      <c r="BF456" s="349"/>
      <c r="BG456" s="349"/>
      <c r="BH456" s="349"/>
      <c r="BI456" s="349"/>
      <c r="BJ456" s="349"/>
      <c r="BK456" s="349"/>
      <c r="BL456" s="349"/>
      <c r="BM456" s="349"/>
      <c r="BN456" s="349"/>
      <c r="BO456" s="349"/>
      <c r="BP456" s="349"/>
      <c r="BQ456" s="349"/>
      <c r="BR456" s="349"/>
      <c r="BS456" s="349"/>
    </row>
    <row r="457" spans="1:71" x14ac:dyDescent="0.3">
      <c r="A457" s="349"/>
      <c r="B457" s="349"/>
      <c r="C457" s="349"/>
      <c r="D457" s="349"/>
      <c r="E457" s="349"/>
      <c r="F457" s="349"/>
      <c r="G457" s="349"/>
      <c r="H457" s="349"/>
      <c r="I457" s="349"/>
      <c r="J457" s="349"/>
      <c r="K457" s="349"/>
      <c r="L457" s="349"/>
      <c r="M457" s="349"/>
      <c r="N457" s="349"/>
      <c r="O457" s="349"/>
      <c r="P457" s="349"/>
      <c r="Q457" s="349"/>
      <c r="R457" s="349"/>
      <c r="S457" s="349"/>
      <c r="T457" s="349"/>
      <c r="U457" s="349"/>
      <c r="V457" s="349"/>
      <c r="W457" s="349"/>
      <c r="X457" s="349"/>
      <c r="Y457" s="349"/>
      <c r="Z457" s="349"/>
      <c r="AA457" s="349"/>
      <c r="AB457" s="349"/>
      <c r="AC457" s="349"/>
      <c r="AD457" s="349"/>
      <c r="AE457" s="349"/>
      <c r="AF457" s="349"/>
      <c r="AG457" s="349"/>
      <c r="AH457" s="349"/>
      <c r="AI457" s="349"/>
      <c r="AJ457" s="349"/>
      <c r="AK457" s="349"/>
      <c r="AL457" s="349"/>
      <c r="AM457" s="349"/>
      <c r="AN457" s="349"/>
      <c r="AO457" s="349"/>
      <c r="AP457" s="349"/>
      <c r="AQ457" s="349"/>
      <c r="AR457" s="349"/>
      <c r="AS457" s="349"/>
      <c r="AT457" s="349"/>
      <c r="AU457" s="349"/>
      <c r="AV457" s="349"/>
      <c r="AW457" s="349"/>
      <c r="AX457" s="349"/>
      <c r="AY457" s="349"/>
      <c r="AZ457" s="349"/>
      <c r="BA457" s="349"/>
      <c r="BB457" s="349"/>
      <c r="BC457" s="349"/>
      <c r="BD457" s="349"/>
      <c r="BE457" s="349"/>
      <c r="BF457" s="349"/>
      <c r="BG457" s="349"/>
      <c r="BH457" s="349"/>
      <c r="BI457" s="349"/>
      <c r="BJ457" s="349"/>
      <c r="BK457" s="349"/>
      <c r="BL457" s="349"/>
      <c r="BM457" s="349"/>
      <c r="BN457" s="349"/>
      <c r="BO457" s="349"/>
      <c r="BP457" s="349"/>
      <c r="BQ457" s="349"/>
      <c r="BR457" s="349"/>
      <c r="BS457" s="349"/>
    </row>
    <row r="458" spans="1:71" x14ac:dyDescent="0.3">
      <c r="A458" s="349"/>
      <c r="B458" s="349"/>
      <c r="C458" s="349"/>
      <c r="D458" s="349"/>
      <c r="E458" s="349"/>
      <c r="F458" s="349"/>
      <c r="G458" s="349"/>
      <c r="H458" s="349"/>
      <c r="I458" s="349"/>
      <c r="J458" s="349"/>
      <c r="K458" s="349"/>
      <c r="L458" s="349"/>
      <c r="M458" s="349"/>
      <c r="N458" s="349"/>
      <c r="O458" s="349"/>
      <c r="P458" s="349"/>
      <c r="Q458" s="349"/>
      <c r="R458" s="349"/>
      <c r="S458" s="349"/>
      <c r="T458" s="349"/>
      <c r="U458" s="349"/>
      <c r="V458" s="349"/>
      <c r="W458" s="349"/>
      <c r="X458" s="349"/>
      <c r="Y458" s="349"/>
      <c r="Z458" s="349"/>
      <c r="AA458" s="349"/>
      <c r="AB458" s="349"/>
      <c r="AC458" s="349"/>
      <c r="AD458" s="349"/>
      <c r="AE458" s="349"/>
      <c r="AF458" s="349"/>
      <c r="AG458" s="349"/>
      <c r="AH458" s="349"/>
      <c r="AI458" s="349"/>
      <c r="AJ458" s="349"/>
      <c r="AK458" s="349"/>
      <c r="AL458" s="349"/>
      <c r="AM458" s="349"/>
      <c r="AN458" s="349"/>
      <c r="AO458" s="349"/>
      <c r="AP458" s="349"/>
      <c r="AQ458" s="349"/>
      <c r="AR458" s="349"/>
      <c r="AS458" s="349"/>
      <c r="AT458" s="349"/>
      <c r="AU458" s="349"/>
      <c r="AV458" s="349"/>
      <c r="AW458" s="349"/>
      <c r="AX458" s="349"/>
      <c r="AY458" s="349"/>
      <c r="AZ458" s="349"/>
      <c r="BA458" s="349"/>
      <c r="BB458" s="349"/>
      <c r="BC458" s="349"/>
      <c r="BD458" s="349"/>
      <c r="BE458" s="349"/>
      <c r="BF458" s="349"/>
      <c r="BG458" s="349"/>
      <c r="BH458" s="349"/>
      <c r="BI458" s="349"/>
      <c r="BJ458" s="349"/>
      <c r="BK458" s="349"/>
      <c r="BL458" s="349"/>
      <c r="BM458" s="349"/>
      <c r="BN458" s="349"/>
      <c r="BO458" s="349"/>
      <c r="BP458" s="349"/>
      <c r="BQ458" s="349"/>
      <c r="BR458" s="349"/>
      <c r="BS458" s="349"/>
    </row>
    <row r="459" spans="1:71" x14ac:dyDescent="0.3">
      <c r="A459" s="349"/>
      <c r="B459" s="349"/>
      <c r="C459" s="349"/>
      <c r="D459" s="349"/>
      <c r="E459" s="349"/>
      <c r="F459" s="349"/>
      <c r="G459" s="349"/>
      <c r="H459" s="349"/>
      <c r="I459" s="349"/>
      <c r="J459" s="349"/>
      <c r="K459" s="349"/>
      <c r="L459" s="349"/>
      <c r="M459" s="349"/>
      <c r="N459" s="349"/>
      <c r="O459" s="349"/>
      <c r="P459" s="349"/>
      <c r="Q459" s="349"/>
      <c r="R459" s="349"/>
      <c r="S459" s="349"/>
      <c r="T459" s="349"/>
      <c r="U459" s="349"/>
      <c r="V459" s="349"/>
      <c r="W459" s="349"/>
      <c r="X459" s="349"/>
      <c r="Y459" s="349"/>
      <c r="Z459" s="349"/>
      <c r="AA459" s="349"/>
      <c r="AB459" s="349"/>
      <c r="AC459" s="349"/>
      <c r="AD459" s="349"/>
      <c r="AE459" s="349"/>
      <c r="AF459" s="349"/>
      <c r="AG459" s="349"/>
      <c r="AH459" s="349"/>
      <c r="AI459" s="349"/>
      <c r="AJ459" s="349"/>
      <c r="AK459" s="349"/>
      <c r="AL459" s="349"/>
      <c r="AM459" s="349"/>
      <c r="AN459" s="349"/>
      <c r="AO459" s="349"/>
      <c r="AP459" s="349"/>
      <c r="AQ459" s="349"/>
      <c r="AR459" s="349"/>
      <c r="AS459" s="349"/>
      <c r="AT459" s="349"/>
      <c r="AU459" s="349"/>
      <c r="AV459" s="349"/>
      <c r="AW459" s="349"/>
      <c r="AX459" s="349"/>
      <c r="AY459" s="349"/>
      <c r="AZ459" s="349"/>
      <c r="BA459" s="349"/>
      <c r="BB459" s="349"/>
      <c r="BC459" s="349"/>
      <c r="BD459" s="349"/>
      <c r="BE459" s="349"/>
      <c r="BF459" s="349"/>
      <c r="BG459" s="349"/>
      <c r="BH459" s="349"/>
      <c r="BI459" s="349"/>
      <c r="BJ459" s="349"/>
      <c r="BK459" s="349"/>
      <c r="BL459" s="349"/>
      <c r="BM459" s="349"/>
      <c r="BN459" s="349"/>
      <c r="BO459" s="349"/>
      <c r="BP459" s="349"/>
      <c r="BQ459" s="349"/>
      <c r="BR459" s="349"/>
      <c r="BS459" s="349"/>
    </row>
    <row r="460" spans="1:71" x14ac:dyDescent="0.3">
      <c r="A460" s="349"/>
      <c r="B460" s="349"/>
      <c r="C460" s="349"/>
      <c r="D460" s="349"/>
      <c r="E460" s="349"/>
      <c r="F460" s="349"/>
      <c r="G460" s="349"/>
      <c r="H460" s="349"/>
      <c r="I460" s="349"/>
      <c r="J460" s="349"/>
      <c r="K460" s="349"/>
      <c r="L460" s="349"/>
      <c r="M460" s="349"/>
      <c r="N460" s="349"/>
      <c r="O460" s="349"/>
      <c r="P460" s="349"/>
      <c r="Q460" s="349"/>
      <c r="R460" s="349"/>
      <c r="S460" s="349"/>
      <c r="T460" s="349"/>
      <c r="U460" s="349"/>
      <c r="V460" s="349"/>
      <c r="W460" s="349"/>
      <c r="X460" s="349"/>
      <c r="Y460" s="349"/>
      <c r="Z460" s="349"/>
      <c r="AA460" s="349"/>
      <c r="AB460" s="349"/>
      <c r="AC460" s="349"/>
      <c r="AD460" s="349"/>
      <c r="AE460" s="349"/>
      <c r="AF460" s="349"/>
      <c r="AG460" s="349"/>
      <c r="AH460" s="349"/>
      <c r="AI460" s="349"/>
      <c r="AJ460" s="349"/>
      <c r="AK460" s="349"/>
      <c r="AL460" s="349"/>
      <c r="AM460" s="349"/>
      <c r="AN460" s="349"/>
      <c r="AO460" s="349"/>
      <c r="AP460" s="349"/>
      <c r="AQ460" s="349"/>
      <c r="AR460" s="349"/>
      <c r="AS460" s="349"/>
      <c r="AT460" s="349"/>
      <c r="AU460" s="349"/>
      <c r="AV460" s="349"/>
      <c r="AW460" s="349"/>
      <c r="AX460" s="349"/>
      <c r="AY460" s="349"/>
      <c r="AZ460" s="349"/>
      <c r="BA460" s="349"/>
      <c r="BB460" s="349"/>
      <c r="BC460" s="349"/>
      <c r="BD460" s="349"/>
      <c r="BE460" s="349"/>
      <c r="BF460" s="349"/>
      <c r="BG460" s="349"/>
      <c r="BH460" s="349"/>
      <c r="BI460" s="349"/>
      <c r="BJ460" s="349"/>
      <c r="BK460" s="349"/>
      <c r="BL460" s="349"/>
      <c r="BM460" s="349"/>
      <c r="BN460" s="349"/>
      <c r="BO460" s="349"/>
      <c r="BP460" s="349"/>
      <c r="BQ460" s="349"/>
      <c r="BR460" s="349"/>
      <c r="BS460" s="349"/>
    </row>
    <row r="461" spans="1:71" x14ac:dyDescent="0.3">
      <c r="A461" s="349"/>
      <c r="B461" s="349"/>
      <c r="C461" s="349"/>
      <c r="D461" s="349"/>
      <c r="E461" s="349"/>
      <c r="F461" s="349"/>
      <c r="G461" s="349"/>
      <c r="H461" s="349"/>
      <c r="I461" s="349"/>
      <c r="J461" s="349"/>
      <c r="K461" s="349"/>
      <c r="L461" s="349"/>
      <c r="M461" s="349"/>
      <c r="N461" s="349"/>
      <c r="O461" s="349"/>
      <c r="P461" s="349"/>
      <c r="Q461" s="349"/>
      <c r="R461" s="349"/>
      <c r="S461" s="349"/>
      <c r="T461" s="349"/>
      <c r="U461" s="349"/>
      <c r="V461" s="349"/>
      <c r="W461" s="349"/>
      <c r="X461" s="349"/>
      <c r="Y461" s="349"/>
      <c r="Z461" s="349"/>
      <c r="AA461" s="349"/>
      <c r="AB461" s="349"/>
      <c r="AC461" s="349"/>
      <c r="AD461" s="349"/>
      <c r="AE461" s="349"/>
      <c r="AF461" s="349"/>
      <c r="AG461" s="349"/>
      <c r="AH461" s="349"/>
      <c r="AI461" s="349"/>
      <c r="AJ461" s="349"/>
      <c r="AK461" s="349"/>
      <c r="AL461" s="349"/>
      <c r="AM461" s="349"/>
      <c r="AN461" s="349"/>
      <c r="AO461" s="349"/>
      <c r="AP461" s="349"/>
      <c r="AQ461" s="349"/>
      <c r="AR461" s="349"/>
      <c r="AS461" s="349"/>
      <c r="AT461" s="349"/>
      <c r="AU461" s="349"/>
      <c r="AV461" s="349"/>
      <c r="AW461" s="349"/>
      <c r="AX461" s="349"/>
      <c r="AY461" s="349"/>
      <c r="AZ461" s="349"/>
      <c r="BA461" s="349"/>
      <c r="BB461" s="349"/>
      <c r="BC461" s="349"/>
      <c r="BD461" s="349"/>
      <c r="BE461" s="349"/>
      <c r="BF461" s="349"/>
      <c r="BG461" s="349"/>
      <c r="BH461" s="349"/>
      <c r="BI461" s="349"/>
      <c r="BJ461" s="349"/>
      <c r="BK461" s="349"/>
      <c r="BL461" s="349"/>
      <c r="BM461" s="349"/>
      <c r="BN461" s="349"/>
      <c r="BO461" s="349"/>
      <c r="BP461" s="349"/>
      <c r="BQ461" s="349"/>
      <c r="BR461" s="349"/>
      <c r="BS461" s="349"/>
    </row>
    <row r="462" spans="1:71" x14ac:dyDescent="0.3">
      <c r="A462" s="349"/>
      <c r="B462" s="349"/>
      <c r="C462" s="349"/>
      <c r="D462" s="349"/>
      <c r="E462" s="349"/>
      <c r="F462" s="349"/>
      <c r="G462" s="349"/>
      <c r="H462" s="349"/>
      <c r="I462" s="349"/>
      <c r="J462" s="349"/>
      <c r="K462" s="349"/>
      <c r="L462" s="349"/>
      <c r="M462" s="349"/>
      <c r="N462" s="349"/>
      <c r="O462" s="349"/>
      <c r="P462" s="349"/>
      <c r="Q462" s="349"/>
      <c r="R462" s="349"/>
      <c r="S462" s="349"/>
      <c r="T462" s="349"/>
      <c r="U462" s="349"/>
      <c r="V462" s="349"/>
      <c r="W462" s="349"/>
      <c r="X462" s="349"/>
      <c r="Y462" s="349"/>
      <c r="Z462" s="349"/>
      <c r="AA462" s="349"/>
      <c r="AB462" s="349"/>
      <c r="AC462" s="349"/>
      <c r="AD462" s="349"/>
      <c r="AE462" s="349"/>
      <c r="AF462" s="349"/>
      <c r="AG462" s="349"/>
      <c r="AH462" s="349"/>
      <c r="AI462" s="349"/>
      <c r="AJ462" s="349"/>
      <c r="AK462" s="349"/>
      <c r="AL462" s="349"/>
      <c r="AM462" s="349"/>
      <c r="AN462" s="349"/>
      <c r="AO462" s="349"/>
      <c r="AP462" s="349"/>
      <c r="AQ462" s="349"/>
      <c r="AR462" s="349"/>
      <c r="AS462" s="349"/>
      <c r="AT462" s="349"/>
      <c r="AU462" s="349"/>
      <c r="AV462" s="349"/>
      <c r="AW462" s="349"/>
      <c r="AX462" s="349"/>
      <c r="AY462" s="349"/>
      <c r="AZ462" s="349"/>
      <c r="BA462" s="349"/>
      <c r="BB462" s="349"/>
      <c r="BC462" s="349"/>
      <c r="BD462" s="349"/>
      <c r="BE462" s="349"/>
      <c r="BF462" s="349"/>
      <c r="BG462" s="349"/>
      <c r="BH462" s="349"/>
      <c r="BI462" s="349"/>
      <c r="BJ462" s="349"/>
      <c r="BK462" s="349"/>
      <c r="BL462" s="349"/>
      <c r="BM462" s="349"/>
      <c r="BN462" s="349"/>
      <c r="BO462" s="349"/>
      <c r="BP462" s="349"/>
      <c r="BQ462" s="349"/>
      <c r="BR462" s="349"/>
      <c r="BS462" s="349"/>
    </row>
    <row r="463" spans="1:71" x14ac:dyDescent="0.3">
      <c r="A463" s="349"/>
      <c r="B463" s="349"/>
      <c r="C463" s="349"/>
      <c r="D463" s="349"/>
      <c r="E463" s="349"/>
      <c r="F463" s="349"/>
      <c r="G463" s="349"/>
      <c r="H463" s="349"/>
      <c r="I463" s="349"/>
      <c r="J463" s="349"/>
      <c r="K463" s="349"/>
      <c r="L463" s="349"/>
      <c r="M463" s="349"/>
      <c r="N463" s="349"/>
      <c r="O463" s="349"/>
      <c r="P463" s="349"/>
      <c r="Q463" s="349"/>
      <c r="R463" s="349"/>
      <c r="S463" s="349"/>
      <c r="T463" s="349"/>
      <c r="U463" s="349"/>
      <c r="V463" s="349"/>
      <c r="W463" s="349"/>
      <c r="X463" s="349"/>
      <c r="Y463" s="349"/>
      <c r="Z463" s="349"/>
      <c r="AA463" s="349"/>
      <c r="AB463" s="349"/>
      <c r="AC463" s="349"/>
      <c r="AD463" s="349"/>
      <c r="AE463" s="349"/>
      <c r="AF463" s="349"/>
      <c r="AG463" s="349"/>
      <c r="AH463" s="349"/>
      <c r="AI463" s="349"/>
      <c r="AJ463" s="349"/>
      <c r="AK463" s="349"/>
      <c r="AL463" s="349"/>
      <c r="AM463" s="349"/>
      <c r="AN463" s="349"/>
      <c r="AO463" s="349"/>
      <c r="AP463" s="349"/>
      <c r="AQ463" s="349"/>
      <c r="AR463" s="349"/>
      <c r="AS463" s="349"/>
      <c r="AT463" s="349"/>
      <c r="AU463" s="349"/>
      <c r="AV463" s="349"/>
      <c r="AW463" s="349"/>
      <c r="AX463" s="349"/>
      <c r="AY463" s="349"/>
      <c r="AZ463" s="349"/>
      <c r="BA463" s="349"/>
      <c r="BB463" s="349"/>
      <c r="BC463" s="349"/>
      <c r="BD463" s="349"/>
      <c r="BE463" s="349"/>
      <c r="BF463" s="349"/>
      <c r="BG463" s="349"/>
      <c r="BH463" s="349"/>
      <c r="BI463" s="349"/>
      <c r="BJ463" s="349"/>
      <c r="BK463" s="349"/>
      <c r="BL463" s="349"/>
      <c r="BM463" s="349"/>
      <c r="BN463" s="349"/>
      <c r="BO463" s="349"/>
      <c r="BP463" s="349"/>
      <c r="BQ463" s="349"/>
      <c r="BR463" s="349"/>
      <c r="BS463" s="349"/>
    </row>
    <row r="464" spans="1:71" x14ac:dyDescent="0.3">
      <c r="A464" s="349"/>
      <c r="B464" s="349"/>
      <c r="C464" s="349"/>
      <c r="D464" s="349"/>
      <c r="E464" s="349"/>
      <c r="F464" s="349"/>
      <c r="G464" s="349"/>
      <c r="H464" s="349"/>
      <c r="I464" s="349"/>
      <c r="J464" s="349"/>
      <c r="K464" s="349"/>
      <c r="L464" s="349"/>
      <c r="M464" s="349"/>
      <c r="N464" s="349"/>
      <c r="O464" s="349"/>
      <c r="P464" s="349"/>
      <c r="Q464" s="349"/>
      <c r="R464" s="349"/>
      <c r="S464" s="349"/>
      <c r="T464" s="349"/>
      <c r="U464" s="349"/>
      <c r="V464" s="349"/>
      <c r="W464" s="349"/>
      <c r="X464" s="349"/>
      <c r="Y464" s="349"/>
      <c r="Z464" s="349"/>
      <c r="AA464" s="349"/>
      <c r="AB464" s="349"/>
      <c r="AC464" s="349"/>
      <c r="AD464" s="349"/>
      <c r="AE464" s="349"/>
      <c r="AF464" s="349"/>
      <c r="AG464" s="349"/>
      <c r="AH464" s="349"/>
      <c r="AI464" s="349"/>
      <c r="AJ464" s="349"/>
      <c r="AK464" s="349"/>
      <c r="AL464" s="349"/>
      <c r="AM464" s="349"/>
      <c r="AN464" s="349"/>
      <c r="AO464" s="349"/>
      <c r="AP464" s="349"/>
      <c r="AQ464" s="349"/>
      <c r="AR464" s="349"/>
      <c r="AS464" s="349"/>
      <c r="AT464" s="349"/>
      <c r="AU464" s="349"/>
      <c r="AV464" s="349"/>
      <c r="AW464" s="349"/>
      <c r="AX464" s="349"/>
      <c r="AY464" s="349"/>
      <c r="AZ464" s="349"/>
      <c r="BA464" s="349"/>
      <c r="BB464" s="349"/>
      <c r="BC464" s="349"/>
      <c r="BD464" s="349"/>
      <c r="BE464" s="349"/>
      <c r="BF464" s="349"/>
      <c r="BG464" s="349"/>
      <c r="BH464" s="349"/>
      <c r="BI464" s="349"/>
      <c r="BJ464" s="349"/>
      <c r="BK464" s="349"/>
      <c r="BL464" s="349"/>
      <c r="BM464" s="349"/>
      <c r="BN464" s="349"/>
      <c r="BO464" s="349"/>
      <c r="BP464" s="349"/>
      <c r="BQ464" s="349"/>
      <c r="BR464" s="349"/>
      <c r="BS464" s="349"/>
    </row>
    <row r="465" spans="1:71" x14ac:dyDescent="0.3">
      <c r="A465" s="349"/>
      <c r="B465" s="349"/>
      <c r="C465" s="349"/>
      <c r="D465" s="349"/>
      <c r="E465" s="349"/>
      <c r="F465" s="349"/>
      <c r="G465" s="349"/>
      <c r="H465" s="349"/>
      <c r="I465" s="349"/>
      <c r="J465" s="349"/>
      <c r="K465" s="349"/>
      <c r="L465" s="349"/>
      <c r="M465" s="349"/>
      <c r="N465" s="349"/>
      <c r="O465" s="349"/>
      <c r="P465" s="349"/>
      <c r="Q465" s="349"/>
      <c r="R465" s="349"/>
      <c r="S465" s="349"/>
      <c r="T465" s="349"/>
      <c r="U465" s="349"/>
      <c r="V465" s="349"/>
      <c r="W465" s="349"/>
      <c r="X465" s="349"/>
      <c r="Y465" s="349"/>
      <c r="Z465" s="349"/>
      <c r="AA465" s="349"/>
      <c r="AB465" s="349"/>
      <c r="AC465" s="349"/>
      <c r="AD465" s="349"/>
      <c r="AE465" s="349"/>
      <c r="AF465" s="349"/>
      <c r="AG465" s="349"/>
      <c r="AH465" s="349"/>
      <c r="AI465" s="349"/>
      <c r="AJ465" s="349"/>
      <c r="AK465" s="349"/>
      <c r="AL465" s="349"/>
      <c r="AM465" s="349"/>
      <c r="AN465" s="349"/>
      <c r="AO465" s="349"/>
      <c r="AP465" s="349"/>
      <c r="AQ465" s="349"/>
      <c r="AR465" s="349"/>
      <c r="AS465" s="349"/>
      <c r="AT465" s="349"/>
      <c r="AU465" s="349"/>
      <c r="AV465" s="349"/>
      <c r="AW465" s="349"/>
      <c r="AX465" s="349"/>
      <c r="AY465" s="349"/>
      <c r="AZ465" s="349"/>
      <c r="BA465" s="349"/>
      <c r="BB465" s="349"/>
      <c r="BC465" s="349"/>
      <c r="BD465" s="349"/>
      <c r="BE465" s="349"/>
      <c r="BF465" s="349"/>
      <c r="BG465" s="349"/>
      <c r="BH465" s="349"/>
      <c r="BI465" s="349"/>
      <c r="BJ465" s="349"/>
      <c r="BK465" s="349"/>
      <c r="BL465" s="349"/>
      <c r="BM465" s="349"/>
      <c r="BN465" s="349"/>
      <c r="BO465" s="349"/>
      <c r="BP465" s="349"/>
      <c r="BQ465" s="349"/>
      <c r="BR465" s="349"/>
      <c r="BS465" s="349"/>
    </row>
    <row r="466" spans="1:71" x14ac:dyDescent="0.3">
      <c r="A466" s="349"/>
      <c r="B466" s="349"/>
      <c r="C466" s="349"/>
      <c r="D466" s="349"/>
      <c r="E466" s="349"/>
      <c r="F466" s="349"/>
      <c r="G466" s="349"/>
      <c r="H466" s="349"/>
      <c r="I466" s="349"/>
      <c r="J466" s="349"/>
      <c r="K466" s="349"/>
      <c r="L466" s="349"/>
      <c r="M466" s="349"/>
      <c r="N466" s="349"/>
      <c r="O466" s="349"/>
      <c r="P466" s="349"/>
      <c r="Q466" s="349"/>
      <c r="R466" s="349"/>
      <c r="S466" s="349"/>
      <c r="T466" s="349"/>
      <c r="U466" s="349"/>
      <c r="V466" s="349"/>
      <c r="W466" s="349"/>
      <c r="X466" s="349"/>
      <c r="Y466" s="349"/>
      <c r="Z466" s="349"/>
      <c r="AA466" s="349"/>
      <c r="AB466" s="349"/>
      <c r="AC466" s="349"/>
      <c r="AD466" s="349"/>
      <c r="AE466" s="349"/>
      <c r="AF466" s="349"/>
      <c r="AG466" s="349"/>
      <c r="AH466" s="349"/>
      <c r="AI466" s="349"/>
      <c r="AJ466" s="349"/>
      <c r="AK466" s="349"/>
      <c r="AL466" s="349"/>
      <c r="AM466" s="349"/>
      <c r="AN466" s="349"/>
      <c r="AO466" s="349"/>
      <c r="AP466" s="349"/>
      <c r="AQ466" s="349"/>
      <c r="AR466" s="349"/>
      <c r="AS466" s="349"/>
      <c r="AT466" s="349"/>
      <c r="AU466" s="349"/>
      <c r="AV466" s="349"/>
      <c r="AW466" s="349"/>
      <c r="AX466" s="349"/>
      <c r="AY466" s="349"/>
      <c r="AZ466" s="349"/>
      <c r="BA466" s="349"/>
      <c r="BB466" s="349"/>
      <c r="BC466" s="349"/>
      <c r="BD466" s="349"/>
      <c r="BE466" s="349"/>
      <c r="BF466" s="349"/>
      <c r="BG466" s="349"/>
      <c r="BH466" s="349"/>
      <c r="BI466" s="349"/>
      <c r="BJ466" s="349"/>
      <c r="BK466" s="349"/>
      <c r="BL466" s="349"/>
      <c r="BM466" s="349"/>
      <c r="BN466" s="349"/>
      <c r="BO466" s="349"/>
      <c r="BP466" s="349"/>
      <c r="BQ466" s="349"/>
      <c r="BR466" s="349"/>
      <c r="BS466" s="349"/>
    </row>
    <row r="467" spans="1:71" x14ac:dyDescent="0.3">
      <c r="A467" s="349"/>
      <c r="B467" s="349"/>
      <c r="C467" s="349"/>
      <c r="D467" s="349"/>
      <c r="E467" s="349"/>
      <c r="F467" s="349"/>
      <c r="G467" s="349"/>
      <c r="H467" s="349"/>
      <c r="I467" s="349"/>
      <c r="J467" s="349"/>
      <c r="K467" s="349"/>
      <c r="L467" s="349"/>
      <c r="M467" s="349"/>
      <c r="N467" s="349"/>
      <c r="O467" s="349"/>
      <c r="P467" s="349"/>
      <c r="Q467" s="349"/>
      <c r="R467" s="349"/>
      <c r="S467" s="349"/>
      <c r="T467" s="349"/>
      <c r="U467" s="349"/>
      <c r="V467" s="349"/>
      <c r="W467" s="349"/>
      <c r="X467" s="349"/>
      <c r="Y467" s="349"/>
      <c r="Z467" s="349"/>
      <c r="AA467" s="349"/>
      <c r="AB467" s="349"/>
      <c r="AC467" s="349"/>
      <c r="AD467" s="349"/>
      <c r="AE467" s="349"/>
      <c r="AF467" s="349"/>
      <c r="AG467" s="349"/>
      <c r="AH467" s="349"/>
      <c r="AI467" s="349"/>
      <c r="AJ467" s="349"/>
      <c r="AK467" s="349"/>
      <c r="AL467" s="349"/>
      <c r="AM467" s="349"/>
      <c r="AN467" s="349"/>
      <c r="AO467" s="349"/>
      <c r="AP467" s="349"/>
      <c r="AQ467" s="349"/>
      <c r="AR467" s="349"/>
      <c r="AS467" s="349"/>
      <c r="AT467" s="349"/>
      <c r="AU467" s="349"/>
      <c r="AV467" s="349"/>
      <c r="AW467" s="349"/>
      <c r="AX467" s="349"/>
      <c r="AY467" s="349"/>
      <c r="AZ467" s="349"/>
      <c r="BA467" s="349"/>
      <c r="BB467" s="349"/>
      <c r="BC467" s="349"/>
      <c r="BD467" s="349"/>
      <c r="BE467" s="349"/>
      <c r="BF467" s="349"/>
      <c r="BG467" s="349"/>
      <c r="BH467" s="349"/>
      <c r="BI467" s="349"/>
      <c r="BJ467" s="349"/>
      <c r="BK467" s="349"/>
      <c r="BL467" s="349"/>
      <c r="BM467" s="349"/>
      <c r="BN467" s="349"/>
      <c r="BO467" s="349"/>
      <c r="BP467" s="349"/>
      <c r="BQ467" s="349"/>
      <c r="BR467" s="349"/>
      <c r="BS467" s="349"/>
    </row>
    <row r="468" spans="1:71" x14ac:dyDescent="0.3">
      <c r="A468" s="349"/>
      <c r="B468" s="349"/>
      <c r="C468" s="349"/>
      <c r="D468" s="349"/>
      <c r="E468" s="349"/>
      <c r="F468" s="349"/>
      <c r="G468" s="349"/>
      <c r="H468" s="349"/>
      <c r="I468" s="349"/>
      <c r="J468" s="349"/>
      <c r="K468" s="349"/>
      <c r="L468" s="349"/>
      <c r="M468" s="349"/>
      <c r="N468" s="349"/>
      <c r="O468" s="349"/>
      <c r="P468" s="349"/>
      <c r="Q468" s="349"/>
      <c r="R468" s="349"/>
      <c r="S468" s="349"/>
      <c r="T468" s="349"/>
      <c r="U468" s="349"/>
      <c r="V468" s="349"/>
      <c r="W468" s="349"/>
      <c r="X468" s="349"/>
      <c r="Y468" s="349"/>
      <c r="Z468" s="349"/>
      <c r="AA468" s="349"/>
      <c r="AB468" s="349"/>
      <c r="AC468" s="349"/>
      <c r="AD468" s="349"/>
      <c r="AE468" s="349"/>
      <c r="AF468" s="349"/>
      <c r="AG468" s="349"/>
      <c r="AH468" s="349"/>
      <c r="AI468" s="349"/>
      <c r="AJ468" s="349"/>
      <c r="AK468" s="349"/>
      <c r="AL468" s="349"/>
      <c r="AM468" s="349"/>
      <c r="AN468" s="349"/>
      <c r="AO468" s="349"/>
      <c r="AP468" s="349"/>
      <c r="AQ468" s="349"/>
      <c r="AR468" s="349"/>
      <c r="AS468" s="349"/>
      <c r="AT468" s="349"/>
      <c r="AU468" s="349"/>
      <c r="AV468" s="349"/>
      <c r="AW468" s="349"/>
      <c r="AX468" s="349"/>
      <c r="AY468" s="349"/>
      <c r="AZ468" s="349"/>
      <c r="BA468" s="349"/>
      <c r="BB468" s="349"/>
      <c r="BC468" s="349"/>
      <c r="BD468" s="349"/>
      <c r="BE468" s="349"/>
      <c r="BF468" s="349"/>
      <c r="BG468" s="349"/>
      <c r="BH468" s="349"/>
      <c r="BI468" s="349"/>
      <c r="BJ468" s="349"/>
      <c r="BK468" s="349"/>
      <c r="BL468" s="349"/>
      <c r="BM468" s="349"/>
      <c r="BN468" s="349"/>
      <c r="BO468" s="349"/>
      <c r="BP468" s="349"/>
      <c r="BQ468" s="349"/>
      <c r="BR468" s="349"/>
      <c r="BS468" s="349"/>
    </row>
    <row r="469" spans="1:71" x14ac:dyDescent="0.3">
      <c r="A469" s="349"/>
      <c r="B469" s="349"/>
      <c r="C469" s="349"/>
      <c r="D469" s="349"/>
      <c r="E469" s="349"/>
      <c r="F469" s="349"/>
      <c r="G469" s="349"/>
      <c r="H469" s="349"/>
      <c r="I469" s="349"/>
      <c r="J469" s="349"/>
      <c r="K469" s="349"/>
      <c r="L469" s="349"/>
      <c r="M469" s="349"/>
      <c r="N469" s="349"/>
      <c r="O469" s="349"/>
      <c r="P469" s="349"/>
      <c r="Q469" s="349"/>
      <c r="R469" s="349"/>
      <c r="S469" s="349"/>
      <c r="T469" s="349"/>
      <c r="U469" s="349"/>
      <c r="V469" s="349"/>
      <c r="W469" s="349"/>
      <c r="X469" s="349"/>
      <c r="Y469" s="349"/>
      <c r="Z469" s="349"/>
      <c r="AA469" s="349"/>
      <c r="AB469" s="349"/>
      <c r="AC469" s="349"/>
      <c r="AD469" s="349"/>
      <c r="AE469" s="349"/>
      <c r="AF469" s="349"/>
      <c r="AG469" s="349"/>
      <c r="AH469" s="349"/>
      <c r="AI469" s="349"/>
      <c r="AJ469" s="349"/>
      <c r="AK469" s="349"/>
      <c r="AL469" s="349"/>
      <c r="AM469" s="349"/>
      <c r="AN469" s="349"/>
      <c r="AO469" s="349"/>
      <c r="AP469" s="349"/>
      <c r="AQ469" s="349"/>
      <c r="AR469" s="349"/>
      <c r="AS469" s="349"/>
      <c r="AT469" s="349"/>
      <c r="AU469" s="349"/>
      <c r="AV469" s="349"/>
      <c r="AW469" s="349"/>
      <c r="AX469" s="349"/>
      <c r="AY469" s="349"/>
      <c r="AZ469" s="349"/>
      <c r="BA469" s="349"/>
      <c r="BB469" s="349"/>
      <c r="BC469" s="349"/>
      <c r="BD469" s="349"/>
      <c r="BE469" s="349"/>
      <c r="BF469" s="349"/>
      <c r="BG469" s="349"/>
      <c r="BH469" s="349"/>
      <c r="BI469" s="349"/>
      <c r="BJ469" s="349"/>
      <c r="BK469" s="349"/>
      <c r="BL469" s="349"/>
      <c r="BM469" s="349"/>
      <c r="BN469" s="349"/>
      <c r="BO469" s="349"/>
      <c r="BP469" s="349"/>
      <c r="BQ469" s="349"/>
      <c r="BR469" s="349"/>
      <c r="BS469" s="349"/>
    </row>
    <row r="470" spans="1:71" x14ac:dyDescent="0.3">
      <c r="A470" s="349"/>
      <c r="B470" s="349"/>
      <c r="C470" s="349"/>
      <c r="D470" s="349"/>
      <c r="E470" s="349"/>
      <c r="F470" s="349"/>
      <c r="G470" s="349"/>
      <c r="H470" s="349"/>
      <c r="I470" s="349"/>
      <c r="J470" s="349"/>
      <c r="K470" s="349"/>
      <c r="L470" s="349"/>
      <c r="M470" s="349"/>
      <c r="N470" s="349"/>
      <c r="O470" s="349"/>
      <c r="P470" s="349"/>
      <c r="Q470" s="349"/>
      <c r="R470" s="349"/>
      <c r="S470" s="349"/>
      <c r="T470" s="349"/>
      <c r="U470" s="349"/>
      <c r="V470" s="349"/>
      <c r="W470" s="349"/>
      <c r="X470" s="349"/>
      <c r="Y470" s="349"/>
      <c r="Z470" s="349"/>
      <c r="AA470" s="349"/>
      <c r="AB470" s="349"/>
      <c r="AC470" s="349"/>
      <c r="AD470" s="349"/>
      <c r="AE470" s="349"/>
      <c r="AF470" s="349"/>
      <c r="AG470" s="349"/>
      <c r="AH470" s="349"/>
      <c r="AI470" s="349"/>
      <c r="AJ470" s="349"/>
      <c r="AK470" s="349"/>
      <c r="AL470" s="349"/>
      <c r="AM470" s="349"/>
      <c r="AN470" s="349"/>
      <c r="AO470" s="349"/>
      <c r="AP470" s="349"/>
      <c r="AQ470" s="349"/>
      <c r="AR470" s="349"/>
      <c r="AS470" s="349"/>
      <c r="AT470" s="349"/>
      <c r="AU470" s="349"/>
      <c r="AV470" s="349"/>
      <c r="AW470" s="349"/>
      <c r="AX470" s="349"/>
      <c r="AY470" s="349"/>
      <c r="AZ470" s="349"/>
      <c r="BA470" s="349"/>
      <c r="BB470" s="349"/>
      <c r="BC470" s="349"/>
      <c r="BD470" s="349"/>
      <c r="BE470" s="349"/>
      <c r="BF470" s="349"/>
      <c r="BG470" s="349"/>
      <c r="BH470" s="349"/>
      <c r="BI470" s="349"/>
      <c r="BJ470" s="349"/>
      <c r="BK470" s="349"/>
      <c r="BL470" s="349"/>
      <c r="BM470" s="349"/>
      <c r="BN470" s="349"/>
      <c r="BO470" s="349"/>
      <c r="BP470" s="349"/>
      <c r="BQ470" s="349"/>
      <c r="BR470" s="349"/>
      <c r="BS470" s="349"/>
    </row>
    <row r="471" spans="1:71" x14ac:dyDescent="0.3">
      <c r="A471" s="349"/>
      <c r="B471" s="349"/>
      <c r="C471" s="349"/>
      <c r="D471" s="349"/>
      <c r="E471" s="349"/>
      <c r="F471" s="349"/>
      <c r="G471" s="349"/>
      <c r="H471" s="349"/>
      <c r="I471" s="349"/>
      <c r="J471" s="349"/>
      <c r="K471" s="349"/>
      <c r="L471" s="349"/>
      <c r="M471" s="349"/>
      <c r="N471" s="349"/>
      <c r="O471" s="349"/>
      <c r="P471" s="349"/>
      <c r="Q471" s="349"/>
      <c r="R471" s="349"/>
      <c r="S471" s="349"/>
      <c r="T471" s="349"/>
      <c r="U471" s="349"/>
      <c r="V471" s="349"/>
      <c r="W471" s="349"/>
      <c r="X471" s="349"/>
      <c r="Y471" s="349"/>
      <c r="Z471" s="349"/>
      <c r="AA471" s="349"/>
      <c r="AB471" s="349"/>
      <c r="AC471" s="349"/>
      <c r="AD471" s="349"/>
      <c r="AE471" s="349"/>
      <c r="AF471" s="349"/>
      <c r="AG471" s="349"/>
      <c r="AH471" s="349"/>
      <c r="AI471" s="349"/>
      <c r="AJ471" s="349"/>
      <c r="AK471" s="349"/>
      <c r="AL471" s="349"/>
      <c r="AM471" s="349"/>
      <c r="AN471" s="349"/>
      <c r="AO471" s="349"/>
      <c r="AP471" s="349"/>
      <c r="AQ471" s="349"/>
      <c r="AR471" s="349"/>
      <c r="AS471" s="349"/>
      <c r="AT471" s="349"/>
      <c r="AU471" s="349"/>
      <c r="AV471" s="349"/>
      <c r="AW471" s="349"/>
      <c r="AX471" s="349"/>
      <c r="AY471" s="349"/>
      <c r="AZ471" s="349"/>
      <c r="BA471" s="349"/>
      <c r="BB471" s="349"/>
      <c r="BC471" s="349"/>
      <c r="BD471" s="349"/>
      <c r="BE471" s="349"/>
      <c r="BF471" s="349"/>
      <c r="BG471" s="349"/>
      <c r="BH471" s="349"/>
      <c r="BI471" s="349"/>
      <c r="BJ471" s="349"/>
      <c r="BK471" s="349"/>
      <c r="BL471" s="349"/>
      <c r="BM471" s="349"/>
      <c r="BN471" s="349"/>
      <c r="BO471" s="349"/>
      <c r="BP471" s="349"/>
      <c r="BQ471" s="349"/>
      <c r="BR471" s="349"/>
      <c r="BS471" s="349"/>
    </row>
    <row r="472" spans="1:71" x14ac:dyDescent="0.3">
      <c r="A472" s="349"/>
      <c r="B472" s="349"/>
      <c r="C472" s="349"/>
      <c r="D472" s="349"/>
      <c r="E472" s="349"/>
      <c r="F472" s="349"/>
      <c r="G472" s="349"/>
      <c r="H472" s="349"/>
      <c r="I472" s="349"/>
      <c r="J472" s="349"/>
      <c r="K472" s="349"/>
      <c r="L472" s="349"/>
      <c r="M472" s="349"/>
      <c r="N472" s="349"/>
      <c r="O472" s="349"/>
      <c r="P472" s="349"/>
      <c r="Q472" s="349"/>
      <c r="R472" s="349"/>
      <c r="S472" s="349"/>
      <c r="T472" s="349"/>
      <c r="U472" s="349"/>
      <c r="V472" s="349"/>
      <c r="W472" s="349"/>
      <c r="X472" s="349"/>
      <c r="Y472" s="349"/>
      <c r="Z472" s="349"/>
      <c r="AA472" s="349"/>
      <c r="AB472" s="349"/>
      <c r="AC472" s="349"/>
      <c r="AD472" s="349"/>
      <c r="AE472" s="349"/>
      <c r="AF472" s="349"/>
      <c r="AG472" s="349"/>
      <c r="AH472" s="349"/>
      <c r="AI472" s="349"/>
      <c r="AJ472" s="349"/>
      <c r="AK472" s="349"/>
      <c r="AL472" s="349"/>
      <c r="AM472" s="349"/>
      <c r="AN472" s="349"/>
      <c r="AO472" s="349"/>
      <c r="AP472" s="349"/>
      <c r="AQ472" s="349"/>
      <c r="AR472" s="349"/>
      <c r="AS472" s="349"/>
      <c r="AT472" s="349"/>
      <c r="AU472" s="349"/>
      <c r="AV472" s="349"/>
      <c r="AW472" s="349"/>
      <c r="AX472" s="349"/>
      <c r="AY472" s="349"/>
      <c r="AZ472" s="349"/>
      <c r="BA472" s="349"/>
      <c r="BB472" s="349"/>
      <c r="BC472" s="349"/>
      <c r="BD472" s="349"/>
      <c r="BE472" s="349"/>
      <c r="BF472" s="349"/>
      <c r="BG472" s="349"/>
      <c r="BH472" s="349"/>
      <c r="BI472" s="349"/>
      <c r="BJ472" s="349"/>
      <c r="BK472" s="349"/>
      <c r="BL472" s="349"/>
      <c r="BM472" s="349"/>
      <c r="BN472" s="349"/>
      <c r="BO472" s="349"/>
      <c r="BP472" s="349"/>
      <c r="BQ472" s="349"/>
      <c r="BR472" s="349"/>
      <c r="BS472" s="349"/>
    </row>
    <row r="473" spans="1:71" x14ac:dyDescent="0.3">
      <c r="A473" s="349"/>
      <c r="B473" s="349"/>
      <c r="C473" s="349"/>
      <c r="D473" s="349"/>
      <c r="E473" s="349"/>
      <c r="F473" s="349"/>
      <c r="G473" s="349"/>
      <c r="H473" s="349"/>
      <c r="I473" s="349"/>
      <c r="J473" s="349"/>
      <c r="K473" s="349"/>
      <c r="L473" s="349"/>
      <c r="M473" s="349"/>
      <c r="N473" s="349"/>
      <c r="O473" s="349"/>
      <c r="P473" s="349"/>
      <c r="Q473" s="349"/>
      <c r="R473" s="349"/>
      <c r="S473" s="349"/>
      <c r="T473" s="349"/>
      <c r="U473" s="349"/>
      <c r="V473" s="349"/>
      <c r="W473" s="349"/>
      <c r="X473" s="349"/>
      <c r="Y473" s="349"/>
      <c r="Z473" s="349"/>
      <c r="AA473" s="349"/>
      <c r="AB473" s="349"/>
      <c r="AC473" s="349"/>
      <c r="AD473" s="349"/>
      <c r="AE473" s="349"/>
      <c r="AF473" s="349"/>
      <c r="AG473" s="349"/>
      <c r="AH473" s="349"/>
      <c r="AI473" s="349"/>
      <c r="AJ473" s="349"/>
      <c r="AK473" s="349"/>
      <c r="AL473" s="349"/>
      <c r="AM473" s="349"/>
      <c r="AN473" s="349"/>
      <c r="AO473" s="349"/>
      <c r="AP473" s="349"/>
      <c r="AQ473" s="349"/>
      <c r="AR473" s="349"/>
      <c r="AS473" s="349"/>
      <c r="AT473" s="349"/>
      <c r="AU473" s="349"/>
      <c r="AV473" s="349"/>
      <c r="AW473" s="349"/>
      <c r="AX473" s="349"/>
      <c r="AY473" s="349"/>
      <c r="AZ473" s="349"/>
      <c r="BA473" s="349"/>
      <c r="BB473" s="349"/>
      <c r="BC473" s="349"/>
      <c r="BD473" s="349"/>
      <c r="BE473" s="349"/>
      <c r="BF473" s="349"/>
      <c r="BG473" s="349"/>
      <c r="BH473" s="349"/>
      <c r="BI473" s="349"/>
      <c r="BJ473" s="349"/>
      <c r="BK473" s="349"/>
      <c r="BL473" s="349"/>
      <c r="BM473" s="349"/>
      <c r="BN473" s="349"/>
      <c r="BO473" s="349"/>
      <c r="BP473" s="349"/>
      <c r="BQ473" s="349"/>
      <c r="BR473" s="349"/>
      <c r="BS473" s="349"/>
    </row>
    <row r="474" spans="1:71" x14ac:dyDescent="0.3">
      <c r="A474" s="349"/>
      <c r="B474" s="349"/>
      <c r="C474" s="349"/>
      <c r="D474" s="349"/>
      <c r="E474" s="349"/>
      <c r="F474" s="349"/>
      <c r="G474" s="349"/>
      <c r="H474" s="349"/>
      <c r="I474" s="349"/>
      <c r="J474" s="349"/>
      <c r="K474" s="349"/>
      <c r="L474" s="349"/>
      <c r="M474" s="349"/>
      <c r="N474" s="349"/>
      <c r="O474" s="349"/>
      <c r="P474" s="349"/>
      <c r="Q474" s="349"/>
      <c r="R474" s="349"/>
      <c r="S474" s="349"/>
      <c r="T474" s="349"/>
      <c r="U474" s="349"/>
      <c r="V474" s="349"/>
      <c r="W474" s="349"/>
      <c r="X474" s="349"/>
      <c r="Y474" s="349"/>
      <c r="Z474" s="349"/>
      <c r="AA474" s="349"/>
      <c r="AB474" s="349"/>
      <c r="AC474" s="349"/>
      <c r="AD474" s="349"/>
      <c r="AE474" s="349"/>
      <c r="AF474" s="349"/>
      <c r="AG474" s="349"/>
      <c r="AH474" s="349"/>
      <c r="AI474" s="349"/>
      <c r="AJ474" s="349"/>
      <c r="AK474" s="349"/>
      <c r="AL474" s="349"/>
      <c r="AM474" s="349"/>
      <c r="AN474" s="349"/>
      <c r="AO474" s="349"/>
      <c r="AP474" s="349"/>
      <c r="AQ474" s="349"/>
      <c r="AR474" s="349"/>
      <c r="AS474" s="349"/>
      <c r="AT474" s="349"/>
      <c r="AU474" s="349"/>
      <c r="AV474" s="349"/>
      <c r="AW474" s="349"/>
      <c r="AX474" s="349"/>
      <c r="AY474" s="349"/>
      <c r="AZ474" s="349"/>
      <c r="BA474" s="349"/>
      <c r="BB474" s="349"/>
      <c r="BC474" s="349"/>
      <c r="BD474" s="349"/>
      <c r="BE474" s="349"/>
      <c r="BF474" s="349"/>
      <c r="BG474" s="349"/>
      <c r="BH474" s="349"/>
      <c r="BI474" s="349"/>
      <c r="BJ474" s="349"/>
      <c r="BK474" s="349"/>
      <c r="BL474" s="349"/>
      <c r="BM474" s="349"/>
      <c r="BN474" s="349"/>
      <c r="BO474" s="349"/>
      <c r="BP474" s="349"/>
      <c r="BQ474" s="349"/>
      <c r="BR474" s="349"/>
      <c r="BS474" s="349"/>
    </row>
    <row r="475" spans="1:71" x14ac:dyDescent="0.3">
      <c r="A475" s="349"/>
      <c r="B475" s="349"/>
      <c r="C475" s="349"/>
      <c r="D475" s="349"/>
      <c r="E475" s="349"/>
      <c r="F475" s="349"/>
      <c r="G475" s="349"/>
      <c r="H475" s="349"/>
      <c r="I475" s="349"/>
      <c r="J475" s="349"/>
      <c r="K475" s="349"/>
      <c r="L475" s="349"/>
      <c r="M475" s="349"/>
      <c r="N475" s="349"/>
      <c r="O475" s="349"/>
      <c r="P475" s="349"/>
      <c r="Q475" s="349"/>
      <c r="R475" s="349"/>
      <c r="S475" s="349"/>
      <c r="T475" s="349"/>
      <c r="U475" s="349"/>
      <c r="V475" s="349"/>
      <c r="W475" s="349"/>
      <c r="X475" s="349"/>
      <c r="Y475" s="349"/>
      <c r="Z475" s="349"/>
      <c r="AA475" s="349"/>
      <c r="AB475" s="349"/>
      <c r="AC475" s="349"/>
      <c r="AD475" s="349"/>
      <c r="AE475" s="349"/>
      <c r="AF475" s="349"/>
      <c r="AG475" s="349"/>
      <c r="AH475" s="349"/>
      <c r="AI475" s="349"/>
      <c r="AJ475" s="349"/>
      <c r="AK475" s="349"/>
      <c r="AL475" s="349"/>
      <c r="AM475" s="349"/>
      <c r="AN475" s="349"/>
      <c r="AO475" s="349"/>
      <c r="AP475" s="349"/>
      <c r="AQ475" s="349"/>
      <c r="AR475" s="349"/>
      <c r="AS475" s="349"/>
      <c r="AT475" s="349"/>
      <c r="AU475" s="349"/>
      <c r="AV475" s="349"/>
      <c r="AW475" s="349"/>
      <c r="AX475" s="349"/>
      <c r="AY475" s="349"/>
      <c r="AZ475" s="349"/>
      <c r="BA475" s="349"/>
      <c r="BB475" s="349"/>
      <c r="BC475" s="349"/>
      <c r="BD475" s="349"/>
      <c r="BE475" s="349"/>
      <c r="BF475" s="349"/>
      <c r="BG475" s="349"/>
      <c r="BH475" s="349"/>
      <c r="BI475" s="349"/>
      <c r="BJ475" s="349"/>
      <c r="BK475" s="349"/>
      <c r="BL475" s="349"/>
      <c r="BM475" s="349"/>
      <c r="BN475" s="349"/>
      <c r="BO475" s="349"/>
      <c r="BP475" s="349"/>
      <c r="BQ475" s="349"/>
      <c r="BR475" s="349"/>
      <c r="BS475" s="349"/>
    </row>
    <row r="476" spans="1:71" x14ac:dyDescent="0.3">
      <c r="A476" s="349"/>
      <c r="B476" s="349"/>
      <c r="C476" s="349"/>
      <c r="D476" s="349"/>
      <c r="E476" s="349"/>
      <c r="F476" s="349"/>
      <c r="G476" s="349"/>
      <c r="H476" s="349"/>
      <c r="I476" s="349"/>
      <c r="J476" s="349"/>
      <c r="K476" s="349"/>
      <c r="L476" s="349"/>
      <c r="M476" s="349"/>
      <c r="N476" s="349"/>
      <c r="O476" s="349"/>
      <c r="P476" s="349"/>
      <c r="Q476" s="349"/>
      <c r="R476" s="349"/>
      <c r="S476" s="349"/>
      <c r="T476" s="349"/>
      <c r="U476" s="349"/>
      <c r="V476" s="349"/>
      <c r="W476" s="349"/>
      <c r="X476" s="349"/>
      <c r="Y476" s="349"/>
      <c r="Z476" s="349"/>
      <c r="AA476" s="349"/>
      <c r="AB476" s="349"/>
      <c r="AC476" s="349"/>
      <c r="AD476" s="349"/>
      <c r="AE476" s="349"/>
      <c r="AF476" s="349"/>
      <c r="AG476" s="349"/>
      <c r="AH476" s="349"/>
      <c r="AI476" s="349"/>
      <c r="AJ476" s="349"/>
      <c r="AK476" s="349"/>
      <c r="AL476" s="349"/>
      <c r="AM476" s="349"/>
      <c r="AN476" s="349"/>
      <c r="AO476" s="349"/>
      <c r="AP476" s="349"/>
      <c r="AQ476" s="349"/>
      <c r="AR476" s="349"/>
      <c r="AS476" s="349"/>
      <c r="AT476" s="349"/>
      <c r="AU476" s="349"/>
      <c r="AV476" s="349"/>
      <c r="AW476" s="349"/>
      <c r="AX476" s="349"/>
      <c r="AY476" s="349"/>
      <c r="AZ476" s="349"/>
      <c r="BA476" s="349"/>
      <c r="BB476" s="349"/>
      <c r="BC476" s="349"/>
      <c r="BD476" s="349"/>
      <c r="BE476" s="349"/>
      <c r="BF476" s="349"/>
      <c r="BG476" s="349"/>
      <c r="BH476" s="349"/>
      <c r="BI476" s="349"/>
      <c r="BJ476" s="349"/>
      <c r="BK476" s="349"/>
      <c r="BL476" s="349"/>
      <c r="BM476" s="349"/>
      <c r="BN476" s="349"/>
      <c r="BO476" s="349"/>
      <c r="BP476" s="349"/>
      <c r="BQ476" s="349"/>
      <c r="BR476" s="349"/>
      <c r="BS476" s="349"/>
    </row>
    <row r="477" spans="1:71" x14ac:dyDescent="0.3">
      <c r="A477" s="349"/>
      <c r="B477" s="349"/>
      <c r="C477" s="349"/>
      <c r="D477" s="349"/>
      <c r="E477" s="349"/>
      <c r="F477" s="349"/>
      <c r="G477" s="349"/>
      <c r="H477" s="349"/>
      <c r="I477" s="349"/>
      <c r="J477" s="349"/>
      <c r="K477" s="349"/>
      <c r="L477" s="349"/>
      <c r="M477" s="349"/>
      <c r="N477" s="349"/>
      <c r="O477" s="349"/>
      <c r="P477" s="349"/>
      <c r="Q477" s="349"/>
      <c r="R477" s="349"/>
      <c r="S477" s="349"/>
      <c r="T477" s="349"/>
      <c r="U477" s="349"/>
      <c r="V477" s="349"/>
      <c r="W477" s="349"/>
      <c r="X477" s="349"/>
      <c r="Y477" s="349"/>
      <c r="Z477" s="349"/>
      <c r="AA477" s="349"/>
      <c r="AB477" s="349"/>
      <c r="AC477" s="349"/>
      <c r="AD477" s="349"/>
      <c r="AE477" s="349"/>
      <c r="AF477" s="349"/>
      <c r="AG477" s="349"/>
      <c r="AH477" s="349"/>
      <c r="AI477" s="349"/>
      <c r="AJ477" s="349"/>
      <c r="AK477" s="349"/>
      <c r="AL477" s="349"/>
      <c r="AM477" s="349"/>
      <c r="AN477" s="349"/>
      <c r="AO477" s="349"/>
      <c r="AP477" s="349"/>
      <c r="AQ477" s="349"/>
      <c r="AR477" s="349"/>
      <c r="AS477" s="349"/>
      <c r="AT477" s="349"/>
      <c r="AU477" s="349"/>
      <c r="AV477" s="349"/>
      <c r="AW477" s="349"/>
      <c r="AX477" s="349"/>
      <c r="AY477" s="349"/>
      <c r="AZ477" s="349"/>
      <c r="BA477" s="349"/>
      <c r="BB477" s="349"/>
      <c r="BC477" s="349"/>
      <c r="BD477" s="349"/>
      <c r="BE477" s="349"/>
      <c r="BF477" s="349"/>
      <c r="BG477" s="349"/>
      <c r="BH477" s="349"/>
      <c r="BI477" s="349"/>
      <c r="BJ477" s="349"/>
      <c r="BK477" s="349"/>
      <c r="BL477" s="349"/>
      <c r="BM477" s="349"/>
      <c r="BN477" s="349"/>
      <c r="BO477" s="349"/>
      <c r="BP477" s="349"/>
      <c r="BQ477" s="349"/>
      <c r="BR477" s="349"/>
      <c r="BS477" s="349"/>
    </row>
    <row r="478" spans="1:71" x14ac:dyDescent="0.3">
      <c r="A478" s="349"/>
      <c r="B478" s="349"/>
      <c r="C478" s="349"/>
      <c r="D478" s="349"/>
      <c r="E478" s="349"/>
      <c r="F478" s="349"/>
      <c r="G478" s="349"/>
      <c r="H478" s="349"/>
      <c r="I478" s="349"/>
      <c r="J478" s="349"/>
      <c r="K478" s="349"/>
      <c r="L478" s="349"/>
      <c r="M478" s="349"/>
      <c r="N478" s="349"/>
      <c r="O478" s="349"/>
      <c r="P478" s="349"/>
      <c r="Q478" s="349"/>
      <c r="R478" s="349"/>
      <c r="S478" s="349"/>
      <c r="T478" s="349"/>
      <c r="U478" s="349"/>
      <c r="V478" s="349"/>
      <c r="W478" s="349"/>
      <c r="X478" s="349"/>
      <c r="Y478" s="349"/>
      <c r="Z478" s="349"/>
      <c r="AA478" s="349"/>
      <c r="AB478" s="349"/>
      <c r="AC478" s="349"/>
      <c r="AD478" s="349"/>
      <c r="AE478" s="349"/>
      <c r="AF478" s="349"/>
      <c r="AG478" s="349"/>
      <c r="AH478" s="349"/>
      <c r="AI478" s="349"/>
      <c r="AJ478" s="349"/>
      <c r="AK478" s="349"/>
      <c r="AL478" s="349"/>
      <c r="AM478" s="349"/>
      <c r="AN478" s="349"/>
      <c r="AO478" s="349"/>
      <c r="AP478" s="349"/>
      <c r="AQ478" s="349"/>
      <c r="AR478" s="349"/>
      <c r="AS478" s="349"/>
      <c r="AT478" s="349"/>
      <c r="AU478" s="349"/>
      <c r="AV478" s="349"/>
      <c r="AW478" s="349"/>
      <c r="AX478" s="349"/>
      <c r="AY478" s="349"/>
      <c r="AZ478" s="349"/>
      <c r="BA478" s="349"/>
      <c r="BB478" s="349"/>
      <c r="BC478" s="349"/>
      <c r="BD478" s="349"/>
      <c r="BE478" s="349"/>
      <c r="BF478" s="349"/>
      <c r="BG478" s="349"/>
      <c r="BH478" s="349"/>
      <c r="BI478" s="349"/>
      <c r="BJ478" s="349"/>
      <c r="BK478" s="349"/>
      <c r="BL478" s="349"/>
      <c r="BM478" s="349"/>
      <c r="BN478" s="349"/>
      <c r="BO478" s="349"/>
      <c r="BP478" s="349"/>
      <c r="BQ478" s="349"/>
      <c r="BR478" s="349"/>
      <c r="BS478" s="349"/>
    </row>
    <row r="479" spans="1:71" x14ac:dyDescent="0.3">
      <c r="A479" s="349"/>
      <c r="B479" s="349"/>
      <c r="C479" s="349"/>
      <c r="D479" s="349"/>
      <c r="E479" s="349"/>
      <c r="F479" s="349"/>
      <c r="G479" s="349"/>
      <c r="H479" s="349"/>
      <c r="I479" s="349"/>
      <c r="J479" s="349"/>
      <c r="K479" s="349"/>
      <c r="L479" s="349"/>
      <c r="M479" s="349"/>
      <c r="N479" s="349"/>
      <c r="O479" s="349"/>
      <c r="P479" s="349"/>
      <c r="Q479" s="349"/>
      <c r="R479" s="349"/>
      <c r="S479" s="349"/>
      <c r="T479" s="349"/>
      <c r="U479" s="349"/>
      <c r="V479" s="349"/>
      <c r="W479" s="349"/>
      <c r="X479" s="349"/>
      <c r="Y479" s="349"/>
      <c r="Z479" s="349"/>
      <c r="AA479" s="349"/>
      <c r="AB479" s="349"/>
      <c r="AC479" s="349"/>
      <c r="AD479" s="349"/>
      <c r="AE479" s="349"/>
      <c r="AF479" s="349"/>
      <c r="AG479" s="349"/>
      <c r="AH479" s="349"/>
      <c r="AI479" s="349"/>
      <c r="AJ479" s="349"/>
      <c r="AK479" s="349"/>
      <c r="AL479" s="349"/>
      <c r="AM479" s="349"/>
      <c r="AN479" s="349"/>
      <c r="AO479" s="349"/>
      <c r="AP479" s="349"/>
      <c r="AQ479" s="349"/>
      <c r="AR479" s="349"/>
      <c r="AS479" s="349"/>
      <c r="AT479" s="349"/>
      <c r="AU479" s="349"/>
      <c r="AV479" s="349"/>
      <c r="AW479" s="349"/>
      <c r="AX479" s="349"/>
      <c r="AY479" s="349"/>
      <c r="AZ479" s="349"/>
      <c r="BA479" s="349"/>
      <c r="BB479" s="349"/>
      <c r="BC479" s="349"/>
      <c r="BD479" s="349"/>
      <c r="BE479" s="349"/>
      <c r="BF479" s="349"/>
      <c r="BG479" s="349"/>
      <c r="BH479" s="349"/>
      <c r="BI479" s="349"/>
      <c r="BJ479" s="349"/>
      <c r="BK479" s="349"/>
      <c r="BL479" s="349"/>
      <c r="BM479" s="349"/>
      <c r="BN479" s="349"/>
      <c r="BO479" s="349"/>
      <c r="BP479" s="349"/>
      <c r="BQ479" s="349"/>
      <c r="BR479" s="349"/>
      <c r="BS479" s="349"/>
    </row>
    <row r="480" spans="1:71" x14ac:dyDescent="0.3">
      <c r="A480" s="349"/>
      <c r="B480" s="349"/>
      <c r="C480" s="349"/>
      <c r="D480" s="349"/>
      <c r="E480" s="349"/>
      <c r="F480" s="349"/>
      <c r="G480" s="349"/>
      <c r="H480" s="349"/>
      <c r="I480" s="349"/>
      <c r="J480" s="349"/>
      <c r="K480" s="349"/>
      <c r="L480" s="349"/>
      <c r="M480" s="349"/>
      <c r="N480" s="349"/>
      <c r="O480" s="349"/>
      <c r="P480" s="349"/>
      <c r="Q480" s="349"/>
      <c r="R480" s="349"/>
      <c r="S480" s="349"/>
      <c r="T480" s="349"/>
      <c r="U480" s="349"/>
      <c r="V480" s="349"/>
      <c r="W480" s="349"/>
      <c r="X480" s="349"/>
      <c r="Y480" s="349"/>
      <c r="Z480" s="349"/>
      <c r="AA480" s="349"/>
      <c r="AB480" s="349"/>
      <c r="AC480" s="349"/>
      <c r="AD480" s="349"/>
      <c r="AE480" s="349"/>
      <c r="AF480" s="349"/>
      <c r="AG480" s="349"/>
      <c r="AH480" s="349"/>
      <c r="AI480" s="349"/>
      <c r="AJ480" s="349"/>
      <c r="AK480" s="349"/>
      <c r="AL480" s="349"/>
      <c r="AM480" s="349"/>
      <c r="AN480" s="349"/>
      <c r="AO480" s="349"/>
      <c r="AP480" s="349"/>
      <c r="AQ480" s="349"/>
      <c r="AR480" s="349"/>
      <c r="AS480" s="349"/>
      <c r="AT480" s="349"/>
      <c r="AU480" s="349"/>
      <c r="AV480" s="349"/>
      <c r="AW480" s="349"/>
      <c r="AX480" s="349"/>
      <c r="AY480" s="349"/>
      <c r="AZ480" s="349"/>
      <c r="BA480" s="349"/>
      <c r="BB480" s="349"/>
      <c r="BC480" s="349"/>
      <c r="BD480" s="349"/>
      <c r="BE480" s="349"/>
      <c r="BF480" s="349"/>
      <c r="BG480" s="349"/>
      <c r="BH480" s="349"/>
      <c r="BI480" s="349"/>
      <c r="BJ480" s="349"/>
      <c r="BK480" s="349"/>
      <c r="BL480" s="349"/>
      <c r="BM480" s="349"/>
      <c r="BN480" s="349"/>
      <c r="BO480" s="349"/>
      <c r="BP480" s="349"/>
      <c r="BQ480" s="349"/>
      <c r="BR480" s="349"/>
      <c r="BS480" s="349"/>
    </row>
    <row r="481" spans="1:71" x14ac:dyDescent="0.3">
      <c r="A481" s="349"/>
      <c r="B481" s="349"/>
      <c r="C481" s="349"/>
      <c r="D481" s="349"/>
      <c r="E481" s="349"/>
      <c r="F481" s="349"/>
      <c r="G481" s="349"/>
      <c r="H481" s="349"/>
      <c r="I481" s="349"/>
      <c r="J481" s="349"/>
      <c r="K481" s="349"/>
      <c r="L481" s="349"/>
      <c r="M481" s="349"/>
      <c r="N481" s="349"/>
      <c r="O481" s="349"/>
      <c r="P481" s="349"/>
      <c r="Q481" s="349"/>
      <c r="R481" s="349"/>
      <c r="S481" s="349"/>
      <c r="T481" s="349"/>
      <c r="U481" s="349"/>
      <c r="V481" s="349"/>
      <c r="W481" s="349"/>
      <c r="X481" s="349"/>
      <c r="Y481" s="349"/>
      <c r="Z481" s="349"/>
      <c r="AA481" s="349"/>
      <c r="AB481" s="349"/>
      <c r="AC481" s="349"/>
      <c r="AD481" s="349"/>
      <c r="AE481" s="349"/>
      <c r="AF481" s="349"/>
      <c r="AG481" s="349"/>
      <c r="AH481" s="349"/>
      <c r="AI481" s="349"/>
      <c r="AJ481" s="349"/>
      <c r="AK481" s="349"/>
      <c r="AL481" s="349"/>
      <c r="AM481" s="349"/>
      <c r="AN481" s="349"/>
      <c r="AO481" s="349"/>
      <c r="AP481" s="349"/>
      <c r="AQ481" s="349"/>
      <c r="AR481" s="349"/>
      <c r="AS481" s="349"/>
      <c r="AT481" s="349"/>
      <c r="AU481" s="349"/>
      <c r="AV481" s="349"/>
      <c r="AW481" s="349"/>
      <c r="AX481" s="349"/>
      <c r="AY481" s="349"/>
      <c r="AZ481" s="349"/>
      <c r="BA481" s="349"/>
      <c r="BB481" s="349"/>
      <c r="BC481" s="349"/>
      <c r="BD481" s="349"/>
      <c r="BE481" s="349"/>
      <c r="BF481" s="349"/>
      <c r="BG481" s="349"/>
      <c r="BH481" s="349"/>
      <c r="BI481" s="349"/>
      <c r="BJ481" s="349"/>
      <c r="BK481" s="349"/>
      <c r="BL481" s="349"/>
      <c r="BM481" s="349"/>
      <c r="BN481" s="349"/>
      <c r="BO481" s="349"/>
      <c r="BP481" s="349"/>
      <c r="BQ481" s="349"/>
      <c r="BR481" s="349"/>
      <c r="BS481" s="349"/>
    </row>
    <row r="482" spans="1:71" x14ac:dyDescent="0.3">
      <c r="A482" s="349"/>
      <c r="B482" s="349"/>
      <c r="C482" s="349"/>
      <c r="D482" s="349"/>
      <c r="E482" s="349"/>
      <c r="F482" s="349"/>
      <c r="G482" s="349"/>
      <c r="H482" s="349"/>
      <c r="I482" s="349"/>
      <c r="J482" s="349"/>
      <c r="K482" s="349"/>
      <c r="L482" s="349"/>
      <c r="M482" s="349"/>
      <c r="N482" s="349"/>
      <c r="O482" s="349"/>
      <c r="P482" s="349"/>
      <c r="Q482" s="349"/>
      <c r="R482" s="349"/>
      <c r="S482" s="349"/>
      <c r="T482" s="349"/>
      <c r="U482" s="349"/>
      <c r="V482" s="349"/>
      <c r="W482" s="349"/>
      <c r="X482" s="349"/>
      <c r="Y482" s="349"/>
      <c r="Z482" s="349"/>
      <c r="AA482" s="349"/>
      <c r="AB482" s="349"/>
      <c r="AC482" s="349"/>
      <c r="AD482" s="349"/>
      <c r="AE482" s="349"/>
      <c r="AF482" s="349"/>
      <c r="AG482" s="349"/>
      <c r="AH482" s="349"/>
      <c r="AI482" s="349"/>
      <c r="AJ482" s="349"/>
      <c r="AK482" s="349"/>
      <c r="AL482" s="349"/>
      <c r="AM482" s="349"/>
      <c r="AN482" s="349"/>
      <c r="AO482" s="349"/>
      <c r="AP482" s="349"/>
      <c r="AQ482" s="349"/>
      <c r="AR482" s="349"/>
      <c r="AS482" s="349"/>
      <c r="AT482" s="349"/>
      <c r="AU482" s="349"/>
      <c r="AV482" s="349"/>
      <c r="AW482" s="349"/>
      <c r="AX482" s="349"/>
      <c r="AY482" s="349"/>
      <c r="AZ482" s="349"/>
      <c r="BA482" s="349"/>
      <c r="BB482" s="349"/>
      <c r="BC482" s="349"/>
      <c r="BD482" s="349"/>
      <c r="BE482" s="349"/>
      <c r="BF482" s="349"/>
      <c r="BG482" s="349"/>
      <c r="BH482" s="349"/>
      <c r="BI482" s="349"/>
      <c r="BJ482" s="349"/>
      <c r="BK482" s="349"/>
      <c r="BL482" s="349"/>
      <c r="BM482" s="349"/>
      <c r="BN482" s="349"/>
      <c r="BO482" s="349"/>
      <c r="BP482" s="349"/>
      <c r="BQ482" s="349"/>
      <c r="BR482" s="349"/>
      <c r="BS482" s="349"/>
    </row>
    <row r="483" spans="1:71" x14ac:dyDescent="0.3">
      <c r="A483" s="349"/>
      <c r="B483" s="349"/>
      <c r="C483" s="349"/>
      <c r="D483" s="349"/>
      <c r="E483" s="349"/>
      <c r="F483" s="349"/>
      <c r="G483" s="349"/>
      <c r="H483" s="349"/>
      <c r="I483" s="349"/>
      <c r="J483" s="349"/>
      <c r="K483" s="349"/>
      <c r="L483" s="349"/>
      <c r="M483" s="349"/>
      <c r="N483" s="349"/>
      <c r="O483" s="349"/>
      <c r="P483" s="349"/>
      <c r="Q483" s="349"/>
      <c r="R483" s="349"/>
      <c r="S483" s="349"/>
      <c r="T483" s="349"/>
      <c r="U483" s="349"/>
      <c r="V483" s="349"/>
      <c r="W483" s="349"/>
      <c r="X483" s="349"/>
      <c r="Y483" s="349"/>
      <c r="Z483" s="349"/>
      <c r="AA483" s="349"/>
      <c r="AB483" s="349"/>
      <c r="AC483" s="349"/>
      <c r="AD483" s="349"/>
      <c r="AE483" s="349"/>
      <c r="AF483" s="349"/>
      <c r="AG483" s="349"/>
      <c r="AH483" s="349"/>
      <c r="AI483" s="349"/>
      <c r="AJ483" s="349"/>
      <c r="AK483" s="349"/>
      <c r="AL483" s="349"/>
      <c r="AM483" s="349"/>
      <c r="AN483" s="349"/>
      <c r="AO483" s="349"/>
      <c r="AP483" s="349"/>
      <c r="AQ483" s="349"/>
      <c r="AR483" s="349"/>
      <c r="AS483" s="349"/>
      <c r="AT483" s="349"/>
      <c r="AU483" s="349"/>
      <c r="AV483" s="349"/>
      <c r="AW483" s="349"/>
      <c r="AX483" s="349"/>
      <c r="AY483" s="349"/>
      <c r="AZ483" s="349"/>
      <c r="BA483" s="349"/>
      <c r="BB483" s="349"/>
      <c r="BC483" s="349"/>
      <c r="BD483" s="349"/>
      <c r="BE483" s="349"/>
      <c r="BF483" s="349"/>
      <c r="BG483" s="349"/>
      <c r="BH483" s="349"/>
      <c r="BI483" s="349"/>
      <c r="BJ483" s="349"/>
      <c r="BK483" s="349"/>
      <c r="BL483" s="349"/>
      <c r="BM483" s="349"/>
      <c r="BN483" s="349"/>
      <c r="BO483" s="349"/>
      <c r="BP483" s="349"/>
      <c r="BQ483" s="349"/>
      <c r="BR483" s="349"/>
      <c r="BS483" s="349"/>
    </row>
    <row r="484" spans="1:71" x14ac:dyDescent="0.3">
      <c r="A484" s="349"/>
      <c r="B484" s="349"/>
      <c r="C484" s="349"/>
      <c r="D484" s="349"/>
      <c r="E484" s="349"/>
      <c r="F484" s="349"/>
      <c r="G484" s="349"/>
      <c r="H484" s="349"/>
      <c r="I484" s="349"/>
      <c r="J484" s="349"/>
      <c r="K484" s="349"/>
      <c r="L484" s="349"/>
      <c r="M484" s="349"/>
      <c r="N484" s="349"/>
      <c r="O484" s="349"/>
      <c r="P484" s="349"/>
      <c r="Q484" s="349"/>
      <c r="R484" s="349"/>
      <c r="S484" s="349"/>
      <c r="T484" s="349"/>
      <c r="U484" s="349"/>
      <c r="V484" s="349"/>
      <c r="W484" s="349"/>
      <c r="X484" s="349"/>
      <c r="Y484" s="349"/>
      <c r="Z484" s="349"/>
      <c r="AA484" s="349"/>
      <c r="AB484" s="349"/>
      <c r="AC484" s="349"/>
      <c r="AD484" s="349"/>
      <c r="AE484" s="349"/>
      <c r="AF484" s="349"/>
      <c r="AG484" s="349"/>
      <c r="AH484" s="349"/>
      <c r="AI484" s="349"/>
      <c r="AJ484" s="349"/>
      <c r="AK484" s="349"/>
      <c r="AL484" s="349"/>
      <c r="AM484" s="349"/>
      <c r="AN484" s="349"/>
      <c r="AO484" s="349"/>
      <c r="AP484" s="349"/>
      <c r="AQ484" s="349"/>
      <c r="AR484" s="349"/>
      <c r="AS484" s="349"/>
      <c r="AT484" s="349"/>
      <c r="AU484" s="349"/>
      <c r="AV484" s="349"/>
      <c r="AW484" s="349"/>
      <c r="AX484" s="349"/>
      <c r="AY484" s="349"/>
      <c r="AZ484" s="349"/>
      <c r="BA484" s="349"/>
      <c r="BB484" s="349"/>
      <c r="BC484" s="349"/>
      <c r="BD484" s="349"/>
      <c r="BE484" s="349"/>
      <c r="BF484" s="349"/>
      <c r="BG484" s="349"/>
      <c r="BH484" s="349"/>
      <c r="BI484" s="349"/>
      <c r="BJ484" s="349"/>
      <c r="BK484" s="349"/>
      <c r="BL484" s="349"/>
      <c r="BM484" s="349"/>
      <c r="BN484" s="349"/>
      <c r="BO484" s="349"/>
      <c r="BP484" s="349"/>
      <c r="BQ484" s="349"/>
      <c r="BR484" s="349"/>
      <c r="BS484" s="349"/>
    </row>
    <row r="485" spans="1:71" x14ac:dyDescent="0.3">
      <c r="A485" s="349"/>
      <c r="B485" s="349"/>
      <c r="C485" s="349"/>
      <c r="D485" s="349"/>
      <c r="E485" s="349"/>
      <c r="F485" s="349"/>
      <c r="G485" s="349"/>
      <c r="H485" s="349"/>
      <c r="I485" s="349"/>
      <c r="J485" s="349"/>
      <c r="K485" s="349"/>
      <c r="L485" s="349"/>
      <c r="M485" s="349"/>
      <c r="N485" s="349"/>
      <c r="O485" s="349"/>
      <c r="P485" s="349"/>
      <c r="Q485" s="349"/>
      <c r="R485" s="349"/>
      <c r="S485" s="349"/>
      <c r="T485" s="349"/>
      <c r="U485" s="349"/>
      <c r="V485" s="349"/>
      <c r="W485" s="349"/>
      <c r="X485" s="349"/>
      <c r="Y485" s="349"/>
      <c r="Z485" s="349"/>
      <c r="AA485" s="349"/>
      <c r="AB485" s="349"/>
      <c r="AC485" s="349"/>
      <c r="AD485" s="349"/>
      <c r="AE485" s="349"/>
      <c r="AF485" s="349"/>
      <c r="AG485" s="349"/>
      <c r="AH485" s="349"/>
      <c r="AI485" s="349"/>
      <c r="AJ485" s="349"/>
      <c r="AK485" s="349"/>
      <c r="AL485" s="349"/>
      <c r="AM485" s="349"/>
      <c r="AN485" s="349"/>
      <c r="AO485" s="349"/>
      <c r="AP485" s="349"/>
      <c r="AQ485" s="349"/>
      <c r="AR485" s="349"/>
      <c r="AS485" s="349"/>
      <c r="AT485" s="349"/>
      <c r="AU485" s="349"/>
      <c r="AV485" s="349"/>
      <c r="AW485" s="349"/>
      <c r="AX485" s="349"/>
      <c r="AY485" s="349"/>
      <c r="AZ485" s="349"/>
      <c r="BA485" s="349"/>
      <c r="BB485" s="349"/>
      <c r="BC485" s="349"/>
      <c r="BD485" s="349"/>
      <c r="BE485" s="349"/>
      <c r="BF485" s="349"/>
      <c r="BG485" s="349"/>
      <c r="BH485" s="349"/>
      <c r="BI485" s="349"/>
      <c r="BJ485" s="349"/>
      <c r="BK485" s="349"/>
      <c r="BL485" s="349"/>
      <c r="BM485" s="349"/>
      <c r="BN485" s="349"/>
      <c r="BO485" s="349"/>
      <c r="BP485" s="349"/>
      <c r="BQ485" s="349"/>
      <c r="BR485" s="349"/>
      <c r="BS485" s="349"/>
    </row>
    <row r="486" spans="1:71" x14ac:dyDescent="0.3">
      <c r="A486" s="349"/>
      <c r="B486" s="349"/>
      <c r="C486" s="349"/>
      <c r="D486" s="349"/>
      <c r="E486" s="349"/>
      <c r="F486" s="349"/>
      <c r="G486" s="349"/>
      <c r="H486" s="349"/>
      <c r="I486" s="349"/>
      <c r="J486" s="349"/>
      <c r="K486" s="349"/>
      <c r="L486" s="349"/>
      <c r="M486" s="349"/>
      <c r="N486" s="349"/>
      <c r="O486" s="349"/>
      <c r="P486" s="349"/>
      <c r="Q486" s="349"/>
      <c r="R486" s="349"/>
      <c r="S486" s="349"/>
      <c r="T486" s="349"/>
      <c r="U486" s="349"/>
      <c r="V486" s="349"/>
      <c r="W486" s="349"/>
      <c r="X486" s="349"/>
      <c r="Y486" s="349"/>
      <c r="Z486" s="349"/>
      <c r="AA486" s="349"/>
      <c r="AB486" s="349"/>
      <c r="AC486" s="349"/>
      <c r="AD486" s="349"/>
      <c r="AE486" s="349"/>
      <c r="AF486" s="349"/>
      <c r="AG486" s="349"/>
      <c r="AH486" s="349"/>
      <c r="AI486" s="349"/>
      <c r="AJ486" s="349"/>
      <c r="AK486" s="349"/>
      <c r="AL486" s="349"/>
      <c r="AM486" s="349"/>
      <c r="AN486" s="349"/>
      <c r="AO486" s="349"/>
      <c r="AP486" s="349"/>
      <c r="AQ486" s="349"/>
      <c r="AR486" s="349"/>
      <c r="AS486" s="349"/>
      <c r="AT486" s="349"/>
      <c r="AU486" s="349"/>
      <c r="AV486" s="349"/>
      <c r="AW486" s="349"/>
      <c r="AX486" s="349"/>
      <c r="AY486" s="349"/>
      <c r="AZ486" s="349"/>
      <c r="BA486" s="349"/>
      <c r="BB486" s="349"/>
      <c r="BC486" s="349"/>
      <c r="BD486" s="349"/>
      <c r="BE486" s="349"/>
      <c r="BF486" s="349"/>
      <c r="BG486" s="349"/>
      <c r="BH486" s="349"/>
      <c r="BI486" s="349"/>
      <c r="BJ486" s="349"/>
      <c r="BK486" s="349"/>
      <c r="BL486" s="349"/>
      <c r="BM486" s="349"/>
      <c r="BN486" s="349"/>
      <c r="BO486" s="349"/>
      <c r="BP486" s="349"/>
      <c r="BQ486" s="349"/>
      <c r="BR486" s="349"/>
      <c r="BS486" s="349"/>
    </row>
    <row r="487" spans="1:71" x14ac:dyDescent="0.3">
      <c r="A487" s="349"/>
      <c r="B487" s="349"/>
      <c r="C487" s="349"/>
      <c r="D487" s="349"/>
      <c r="E487" s="349"/>
      <c r="F487" s="349"/>
      <c r="G487" s="349"/>
      <c r="H487" s="349"/>
      <c r="I487" s="349"/>
      <c r="J487" s="349"/>
      <c r="K487" s="349"/>
      <c r="L487" s="349"/>
      <c r="M487" s="349"/>
      <c r="N487" s="349"/>
      <c r="O487" s="349"/>
      <c r="P487" s="349"/>
      <c r="Q487" s="349"/>
      <c r="R487" s="349"/>
      <c r="S487" s="349"/>
      <c r="T487" s="349"/>
      <c r="U487" s="349"/>
      <c r="V487" s="349"/>
      <c r="W487" s="349"/>
      <c r="X487" s="349"/>
      <c r="Y487" s="349"/>
      <c r="Z487" s="349"/>
      <c r="AA487" s="349"/>
      <c r="AB487" s="349"/>
      <c r="AC487" s="349"/>
      <c r="AD487" s="349"/>
      <c r="AE487" s="349"/>
      <c r="AF487" s="349"/>
      <c r="AG487" s="349"/>
      <c r="AH487" s="349"/>
      <c r="AI487" s="349"/>
      <c r="AJ487" s="349"/>
      <c r="AK487" s="349"/>
      <c r="AL487" s="349"/>
      <c r="AM487" s="349"/>
      <c r="AN487" s="349"/>
      <c r="AO487" s="349"/>
      <c r="AP487" s="349"/>
      <c r="AQ487" s="349"/>
      <c r="AR487" s="349"/>
      <c r="AS487" s="349"/>
      <c r="AT487" s="349"/>
      <c r="AU487" s="349"/>
      <c r="AV487" s="349"/>
      <c r="AW487" s="349"/>
      <c r="AX487" s="349"/>
      <c r="AY487" s="349"/>
      <c r="AZ487" s="349"/>
      <c r="BA487" s="349"/>
      <c r="BB487" s="349"/>
      <c r="BC487" s="349"/>
      <c r="BD487" s="349"/>
      <c r="BE487" s="349"/>
      <c r="BF487" s="349"/>
      <c r="BG487" s="349"/>
      <c r="BH487" s="349"/>
      <c r="BI487" s="349"/>
      <c r="BJ487" s="349"/>
      <c r="BK487" s="349"/>
      <c r="BL487" s="349"/>
      <c r="BM487" s="349"/>
      <c r="BN487" s="349"/>
      <c r="BO487" s="349"/>
      <c r="BP487" s="349"/>
      <c r="BQ487" s="349"/>
      <c r="BR487" s="349"/>
      <c r="BS487" s="349"/>
    </row>
    <row r="488" spans="1:71" x14ac:dyDescent="0.3">
      <c r="A488" s="349"/>
      <c r="B488" s="349"/>
      <c r="C488" s="349"/>
      <c r="D488" s="349"/>
      <c r="E488" s="349"/>
      <c r="F488" s="349"/>
      <c r="G488" s="349"/>
      <c r="H488" s="349"/>
      <c r="I488" s="349"/>
      <c r="J488" s="349"/>
      <c r="K488" s="349"/>
      <c r="L488" s="349"/>
      <c r="M488" s="349"/>
      <c r="N488" s="349"/>
      <c r="O488" s="349"/>
      <c r="P488" s="349"/>
      <c r="Q488" s="349"/>
      <c r="R488" s="349"/>
      <c r="S488" s="349"/>
      <c r="T488" s="349"/>
      <c r="U488" s="349"/>
      <c r="V488" s="349"/>
      <c r="W488" s="349"/>
      <c r="X488" s="349"/>
      <c r="Y488" s="349"/>
      <c r="Z488" s="349"/>
      <c r="AA488" s="349"/>
      <c r="AB488" s="349"/>
      <c r="AC488" s="349"/>
      <c r="AD488" s="349"/>
      <c r="AE488" s="349"/>
      <c r="AF488" s="349"/>
      <c r="AG488" s="349"/>
      <c r="AH488" s="349"/>
      <c r="AI488" s="349"/>
      <c r="AJ488" s="349"/>
      <c r="AK488" s="349"/>
      <c r="AL488" s="349"/>
      <c r="AM488" s="349"/>
      <c r="AN488" s="349"/>
      <c r="AO488" s="349"/>
      <c r="AP488" s="349"/>
      <c r="AQ488" s="349"/>
      <c r="AR488" s="349"/>
      <c r="AS488" s="349"/>
      <c r="AT488" s="349"/>
      <c r="AU488" s="349"/>
      <c r="AV488" s="349"/>
      <c r="AW488" s="349"/>
      <c r="AX488" s="349"/>
      <c r="AY488" s="349"/>
      <c r="AZ488" s="349"/>
      <c r="BA488" s="349"/>
      <c r="BB488" s="349"/>
      <c r="BC488" s="349"/>
      <c r="BD488" s="349"/>
      <c r="BE488" s="349"/>
      <c r="BF488" s="349"/>
      <c r="BG488" s="349"/>
      <c r="BH488" s="349"/>
      <c r="BI488" s="349"/>
      <c r="BJ488" s="349"/>
      <c r="BK488" s="349"/>
      <c r="BL488" s="349"/>
      <c r="BM488" s="349"/>
      <c r="BN488" s="349"/>
      <c r="BO488" s="349"/>
      <c r="BP488" s="349"/>
      <c r="BQ488" s="349"/>
      <c r="BR488" s="349"/>
      <c r="BS488" s="349"/>
    </row>
    <row r="489" spans="1:71" x14ac:dyDescent="0.3">
      <c r="A489" s="349"/>
      <c r="B489" s="349"/>
      <c r="C489" s="349"/>
      <c r="D489" s="349"/>
      <c r="E489" s="349"/>
      <c r="F489" s="349"/>
      <c r="G489" s="349"/>
      <c r="H489" s="349"/>
      <c r="I489" s="349"/>
      <c r="J489" s="349"/>
      <c r="K489" s="349"/>
      <c r="L489" s="349"/>
      <c r="M489" s="349"/>
      <c r="N489" s="349"/>
      <c r="O489" s="349"/>
      <c r="P489" s="349"/>
      <c r="Q489" s="349"/>
      <c r="R489" s="349"/>
      <c r="S489" s="349"/>
      <c r="T489" s="349"/>
      <c r="U489" s="349"/>
      <c r="V489" s="349"/>
      <c r="W489" s="349"/>
      <c r="X489" s="349"/>
      <c r="Y489" s="349"/>
      <c r="Z489" s="349"/>
      <c r="AA489" s="349"/>
      <c r="AB489" s="349"/>
      <c r="AC489" s="349"/>
      <c r="AD489" s="349"/>
      <c r="AE489" s="349"/>
      <c r="AF489" s="349"/>
      <c r="AG489" s="349"/>
      <c r="AH489" s="349"/>
      <c r="AI489" s="349"/>
      <c r="AJ489" s="349"/>
      <c r="AK489" s="349"/>
      <c r="AL489" s="349"/>
      <c r="AM489" s="349"/>
      <c r="AN489" s="349"/>
      <c r="AO489" s="349"/>
      <c r="AP489" s="349"/>
      <c r="AQ489" s="349"/>
      <c r="AR489" s="349"/>
      <c r="AS489" s="349"/>
      <c r="AT489" s="349"/>
      <c r="AU489" s="349"/>
      <c r="AV489" s="349"/>
      <c r="AW489" s="349"/>
      <c r="AX489" s="349"/>
      <c r="AY489" s="349"/>
      <c r="AZ489" s="349"/>
      <c r="BA489" s="349"/>
      <c r="BB489" s="349"/>
      <c r="BC489" s="349"/>
      <c r="BD489" s="349"/>
      <c r="BE489" s="349"/>
      <c r="BF489" s="349"/>
      <c r="BG489" s="349"/>
      <c r="BH489" s="349"/>
      <c r="BI489" s="349"/>
      <c r="BJ489" s="349"/>
      <c r="BK489" s="349"/>
      <c r="BL489" s="349"/>
      <c r="BM489" s="349"/>
      <c r="BN489" s="349"/>
      <c r="BO489" s="349"/>
      <c r="BP489" s="349"/>
      <c r="BQ489" s="349"/>
      <c r="BR489" s="349"/>
      <c r="BS489" s="349"/>
    </row>
    <row r="490" spans="1:71" x14ac:dyDescent="0.3">
      <c r="A490" s="349"/>
      <c r="B490" s="349"/>
      <c r="C490" s="349"/>
      <c r="D490" s="349"/>
      <c r="E490" s="349"/>
      <c r="F490" s="349"/>
      <c r="G490" s="349"/>
      <c r="H490" s="349"/>
      <c r="I490" s="349"/>
      <c r="J490" s="349"/>
      <c r="K490" s="349"/>
      <c r="L490" s="349"/>
      <c r="M490" s="349"/>
      <c r="N490" s="349"/>
      <c r="O490" s="349"/>
      <c r="P490" s="349"/>
      <c r="Q490" s="349"/>
      <c r="R490" s="349"/>
      <c r="S490" s="349"/>
      <c r="T490" s="349"/>
      <c r="U490" s="349"/>
      <c r="V490" s="349"/>
      <c r="W490" s="349"/>
      <c r="X490" s="349"/>
      <c r="Y490" s="349"/>
      <c r="Z490" s="349"/>
      <c r="AA490" s="349"/>
      <c r="AB490" s="349"/>
      <c r="AC490" s="349"/>
      <c r="AD490" s="349"/>
      <c r="AE490" s="349"/>
      <c r="AF490" s="349"/>
      <c r="AG490" s="349"/>
      <c r="AH490" s="349"/>
      <c r="AI490" s="349"/>
      <c r="AJ490" s="349"/>
      <c r="AK490" s="349"/>
      <c r="AL490" s="349"/>
      <c r="AM490" s="349"/>
      <c r="AN490" s="349"/>
      <c r="AO490" s="349"/>
      <c r="AP490" s="349"/>
      <c r="AQ490" s="349"/>
      <c r="AR490" s="349"/>
      <c r="AS490" s="349"/>
      <c r="AT490" s="349"/>
      <c r="AU490" s="349"/>
      <c r="AV490" s="349"/>
      <c r="AW490" s="349"/>
      <c r="AX490" s="349"/>
      <c r="AY490" s="349"/>
      <c r="AZ490" s="349"/>
      <c r="BA490" s="349"/>
      <c r="BB490" s="349"/>
      <c r="BC490" s="349"/>
      <c r="BD490" s="349"/>
      <c r="BE490" s="349"/>
      <c r="BF490" s="349"/>
      <c r="BG490" s="349"/>
      <c r="BH490" s="349"/>
      <c r="BI490" s="349"/>
      <c r="BJ490" s="349"/>
      <c r="BK490" s="349"/>
      <c r="BL490" s="349"/>
      <c r="BM490" s="349"/>
      <c r="BN490" s="349"/>
      <c r="BO490" s="349"/>
      <c r="BP490" s="349"/>
      <c r="BQ490" s="349"/>
      <c r="BR490" s="349"/>
      <c r="BS490" s="349"/>
    </row>
    <row r="491" spans="1:71" x14ac:dyDescent="0.3">
      <c r="A491" s="349"/>
      <c r="B491" s="349"/>
      <c r="C491" s="349"/>
      <c r="D491" s="349"/>
      <c r="E491" s="349"/>
      <c r="F491" s="349"/>
      <c r="G491" s="349"/>
      <c r="H491" s="349"/>
      <c r="I491" s="349"/>
      <c r="J491" s="349"/>
      <c r="K491" s="349"/>
      <c r="L491" s="349"/>
      <c r="M491" s="349"/>
      <c r="N491" s="349"/>
      <c r="O491" s="349"/>
      <c r="P491" s="349"/>
      <c r="Q491" s="349"/>
      <c r="R491" s="349"/>
      <c r="S491" s="349"/>
      <c r="T491" s="349"/>
      <c r="U491" s="349"/>
      <c r="V491" s="349"/>
      <c r="W491" s="349"/>
      <c r="X491" s="349"/>
      <c r="Y491" s="349"/>
      <c r="Z491" s="349"/>
      <c r="AA491" s="349"/>
      <c r="AB491" s="349"/>
      <c r="AC491" s="349"/>
      <c r="AD491" s="349"/>
      <c r="AE491" s="349"/>
      <c r="AF491" s="349"/>
      <c r="AG491" s="349"/>
      <c r="AH491" s="349"/>
      <c r="AI491" s="349"/>
      <c r="AJ491" s="349"/>
      <c r="AK491" s="349"/>
      <c r="AL491" s="349"/>
      <c r="AM491" s="349"/>
      <c r="AN491" s="349"/>
      <c r="AO491" s="349"/>
      <c r="AP491" s="349"/>
      <c r="AQ491" s="349"/>
      <c r="AR491" s="349"/>
      <c r="AS491" s="349"/>
      <c r="AT491" s="349"/>
      <c r="AU491" s="349"/>
      <c r="AV491" s="349"/>
      <c r="AW491" s="349"/>
      <c r="AX491" s="349"/>
      <c r="AY491" s="349"/>
      <c r="AZ491" s="349"/>
      <c r="BA491" s="349"/>
      <c r="BB491" s="349"/>
      <c r="BC491" s="349"/>
      <c r="BD491" s="349"/>
      <c r="BE491" s="349"/>
      <c r="BF491" s="349"/>
      <c r="BG491" s="349"/>
      <c r="BH491" s="349"/>
      <c r="BI491" s="349"/>
      <c r="BJ491" s="349"/>
      <c r="BK491" s="349"/>
      <c r="BL491" s="349"/>
      <c r="BM491" s="349"/>
      <c r="BN491" s="349"/>
      <c r="BO491" s="349"/>
      <c r="BP491" s="349"/>
      <c r="BQ491" s="349"/>
      <c r="BR491" s="349"/>
      <c r="BS491" s="349"/>
    </row>
    <row r="492" spans="1:71" x14ac:dyDescent="0.3">
      <c r="A492" s="349"/>
      <c r="B492" s="349"/>
      <c r="C492" s="349"/>
      <c r="D492" s="349"/>
      <c r="E492" s="349"/>
      <c r="F492" s="349"/>
      <c r="G492" s="349"/>
      <c r="H492" s="349"/>
      <c r="I492" s="349"/>
      <c r="J492" s="349"/>
      <c r="K492" s="349"/>
      <c r="L492" s="349"/>
      <c r="M492" s="349"/>
      <c r="N492" s="349"/>
      <c r="O492" s="349"/>
      <c r="P492" s="349"/>
      <c r="Q492" s="349"/>
      <c r="R492" s="349"/>
      <c r="S492" s="349"/>
      <c r="T492" s="349"/>
      <c r="U492" s="349"/>
      <c r="V492" s="349"/>
      <c r="W492" s="349"/>
      <c r="X492" s="349"/>
      <c r="Y492" s="349"/>
      <c r="Z492" s="349"/>
      <c r="AA492" s="349"/>
      <c r="AB492" s="349"/>
      <c r="AC492" s="349"/>
      <c r="AD492" s="349"/>
      <c r="AE492" s="349"/>
      <c r="AF492" s="349"/>
      <c r="AG492" s="349"/>
      <c r="AH492" s="349"/>
      <c r="AI492" s="349"/>
      <c r="AJ492" s="349"/>
      <c r="AK492" s="349"/>
      <c r="AL492" s="349"/>
      <c r="AM492" s="349"/>
      <c r="AN492" s="349"/>
      <c r="AO492" s="349"/>
      <c r="AP492" s="349"/>
      <c r="AQ492" s="349"/>
      <c r="AR492" s="349"/>
      <c r="AS492" s="349"/>
      <c r="AT492" s="349"/>
      <c r="AU492" s="349"/>
      <c r="AV492" s="349"/>
      <c r="AW492" s="349"/>
      <c r="AX492" s="349"/>
      <c r="AY492" s="349"/>
      <c r="AZ492" s="349"/>
      <c r="BA492" s="349"/>
      <c r="BB492" s="349"/>
      <c r="BC492" s="349"/>
      <c r="BD492" s="349"/>
      <c r="BE492" s="349"/>
      <c r="BF492" s="349"/>
      <c r="BG492" s="349"/>
      <c r="BH492" s="349"/>
      <c r="BI492" s="349"/>
      <c r="BJ492" s="349"/>
      <c r="BK492" s="349"/>
      <c r="BL492" s="349"/>
      <c r="BM492" s="349"/>
      <c r="BN492" s="349"/>
      <c r="BO492" s="349"/>
      <c r="BP492" s="349"/>
      <c r="BQ492" s="349"/>
      <c r="BR492" s="349"/>
      <c r="BS492" s="349"/>
    </row>
    <row r="493" spans="1:71" x14ac:dyDescent="0.3">
      <c r="A493" s="349"/>
      <c r="B493" s="349"/>
      <c r="C493" s="349"/>
      <c r="D493" s="349"/>
      <c r="E493" s="349"/>
      <c r="F493" s="349"/>
      <c r="G493" s="349"/>
      <c r="H493" s="349"/>
      <c r="I493" s="349"/>
      <c r="J493" s="349"/>
      <c r="K493" s="349"/>
      <c r="L493" s="349"/>
      <c r="M493" s="349"/>
      <c r="N493" s="349"/>
      <c r="O493" s="349"/>
      <c r="P493" s="349"/>
      <c r="Q493" s="349"/>
      <c r="R493" s="349"/>
      <c r="S493" s="349"/>
      <c r="T493" s="349"/>
      <c r="U493" s="349"/>
      <c r="V493" s="349"/>
      <c r="W493" s="349"/>
      <c r="X493" s="349"/>
      <c r="Y493" s="349"/>
      <c r="Z493" s="349"/>
      <c r="AA493" s="349"/>
      <c r="AB493" s="349"/>
      <c r="AC493" s="349"/>
      <c r="AD493" s="349"/>
      <c r="AE493" s="349"/>
      <c r="AF493" s="349"/>
      <c r="AG493" s="349"/>
      <c r="AH493" s="349"/>
      <c r="AI493" s="349"/>
      <c r="AJ493" s="349"/>
      <c r="AK493" s="349"/>
      <c r="AL493" s="349"/>
      <c r="AM493" s="349"/>
      <c r="AN493" s="349"/>
      <c r="AO493" s="349"/>
      <c r="AP493" s="349"/>
      <c r="AQ493" s="349"/>
      <c r="AR493" s="349"/>
      <c r="AS493" s="349"/>
      <c r="AT493" s="349"/>
      <c r="AU493" s="349"/>
      <c r="AV493" s="349"/>
      <c r="AW493" s="349"/>
      <c r="AX493" s="349"/>
      <c r="AY493" s="349"/>
      <c r="AZ493" s="349"/>
      <c r="BA493" s="349"/>
      <c r="BB493" s="349"/>
      <c r="BC493" s="349"/>
      <c r="BD493" s="349"/>
      <c r="BE493" s="349"/>
      <c r="BF493" s="349"/>
      <c r="BG493" s="349"/>
      <c r="BH493" s="349"/>
      <c r="BI493" s="349"/>
      <c r="BJ493" s="349"/>
      <c r="BK493" s="349"/>
      <c r="BL493" s="349"/>
      <c r="BM493" s="349"/>
      <c r="BN493" s="349"/>
      <c r="BO493" s="349"/>
      <c r="BP493" s="349"/>
      <c r="BQ493" s="349"/>
      <c r="BR493" s="349"/>
      <c r="BS493" s="349"/>
    </row>
    <row r="494" spans="1:71" x14ac:dyDescent="0.3">
      <c r="A494" s="349"/>
      <c r="B494" s="349"/>
      <c r="C494" s="349"/>
      <c r="D494" s="349"/>
      <c r="E494" s="349"/>
      <c r="F494" s="349"/>
      <c r="G494" s="349"/>
      <c r="H494" s="349"/>
      <c r="I494" s="349"/>
      <c r="J494" s="349"/>
      <c r="K494" s="349"/>
      <c r="L494" s="349"/>
      <c r="M494" s="349"/>
      <c r="N494" s="349"/>
      <c r="O494" s="349"/>
      <c r="P494" s="349"/>
      <c r="Q494" s="349"/>
      <c r="R494" s="349"/>
      <c r="S494" s="349"/>
      <c r="T494" s="349"/>
      <c r="U494" s="349"/>
      <c r="V494" s="349"/>
      <c r="W494" s="349"/>
      <c r="X494" s="349"/>
      <c r="Y494" s="349"/>
      <c r="Z494" s="349"/>
      <c r="AA494" s="349"/>
      <c r="AB494" s="349"/>
      <c r="AC494" s="349"/>
      <c r="AD494" s="349"/>
      <c r="AE494" s="349"/>
      <c r="AF494" s="349"/>
      <c r="AG494" s="349"/>
      <c r="AH494" s="349"/>
      <c r="AI494" s="349"/>
      <c r="AJ494" s="349"/>
      <c r="AK494" s="349"/>
      <c r="AL494" s="349"/>
      <c r="AM494" s="349"/>
      <c r="AN494" s="349"/>
      <c r="AO494" s="349"/>
      <c r="AP494" s="349"/>
      <c r="AQ494" s="349"/>
      <c r="AR494" s="349"/>
      <c r="AS494" s="349"/>
      <c r="AT494" s="349"/>
      <c r="AU494" s="349"/>
      <c r="AV494" s="349"/>
      <c r="AW494" s="349"/>
      <c r="AX494" s="349"/>
      <c r="AY494" s="349"/>
      <c r="AZ494" s="349"/>
      <c r="BA494" s="349"/>
      <c r="BB494" s="349"/>
      <c r="BC494" s="349"/>
      <c r="BD494" s="349"/>
      <c r="BE494" s="349"/>
      <c r="BF494" s="349"/>
      <c r="BG494" s="349"/>
      <c r="BH494" s="349"/>
      <c r="BI494" s="349"/>
      <c r="BJ494" s="349"/>
      <c r="BK494" s="349"/>
      <c r="BL494" s="349"/>
      <c r="BM494" s="349"/>
      <c r="BN494" s="349"/>
      <c r="BO494" s="349"/>
      <c r="BP494" s="349"/>
      <c r="BQ494" s="349"/>
      <c r="BR494" s="349"/>
      <c r="BS494" s="349"/>
    </row>
    <row r="495" spans="1:71" x14ac:dyDescent="0.3">
      <c r="A495" s="349"/>
      <c r="B495" s="349"/>
      <c r="C495" s="349"/>
      <c r="D495" s="349"/>
      <c r="E495" s="349"/>
      <c r="F495" s="349"/>
      <c r="G495" s="349"/>
      <c r="H495" s="349"/>
      <c r="I495" s="349"/>
      <c r="J495" s="349"/>
      <c r="K495" s="349"/>
      <c r="L495" s="349"/>
      <c r="M495" s="349"/>
      <c r="N495" s="349"/>
      <c r="O495" s="349"/>
      <c r="P495" s="349"/>
      <c r="Q495" s="349"/>
      <c r="R495" s="349"/>
      <c r="S495" s="349"/>
      <c r="T495" s="349"/>
      <c r="U495" s="349"/>
      <c r="V495" s="349"/>
      <c r="W495" s="349"/>
      <c r="X495" s="349"/>
      <c r="Y495" s="349"/>
      <c r="Z495" s="349"/>
      <c r="AA495" s="349"/>
      <c r="AB495" s="349"/>
      <c r="AC495" s="349"/>
      <c r="AD495" s="349"/>
      <c r="AE495" s="349"/>
      <c r="AF495" s="349"/>
      <c r="AG495" s="349"/>
      <c r="AH495" s="349"/>
      <c r="AI495" s="349"/>
      <c r="AJ495" s="349"/>
      <c r="AK495" s="349"/>
      <c r="AL495" s="349"/>
      <c r="AM495" s="349"/>
      <c r="AN495" s="349"/>
      <c r="AO495" s="349"/>
      <c r="AP495" s="349"/>
      <c r="AQ495" s="349"/>
      <c r="AR495" s="349"/>
      <c r="AS495" s="349"/>
      <c r="AT495" s="349"/>
      <c r="AU495" s="349"/>
      <c r="AV495" s="349"/>
      <c r="AW495" s="349"/>
      <c r="AX495" s="349"/>
      <c r="AY495" s="349"/>
      <c r="AZ495" s="349"/>
      <c r="BA495" s="349"/>
      <c r="BB495" s="349"/>
      <c r="BC495" s="349"/>
      <c r="BD495" s="349"/>
      <c r="BE495" s="349"/>
      <c r="BF495" s="349"/>
      <c r="BG495" s="349"/>
      <c r="BH495" s="349"/>
      <c r="BI495" s="349"/>
      <c r="BJ495" s="349"/>
      <c r="BK495" s="349"/>
      <c r="BL495" s="349"/>
      <c r="BM495" s="349"/>
      <c r="BN495" s="349"/>
      <c r="BO495" s="349"/>
      <c r="BP495" s="349"/>
      <c r="BQ495" s="349"/>
      <c r="BR495" s="349"/>
      <c r="BS495" s="349"/>
    </row>
    <row r="496" spans="1:71" x14ac:dyDescent="0.3">
      <c r="A496" s="349"/>
      <c r="B496" s="349"/>
      <c r="C496" s="349"/>
      <c r="D496" s="349"/>
      <c r="E496" s="349"/>
      <c r="F496" s="349"/>
      <c r="G496" s="349"/>
      <c r="H496" s="349"/>
      <c r="I496" s="349"/>
      <c r="J496" s="349"/>
      <c r="K496" s="349"/>
      <c r="L496" s="349"/>
      <c r="M496" s="349"/>
      <c r="N496" s="349"/>
      <c r="O496" s="349"/>
      <c r="P496" s="349"/>
      <c r="Q496" s="349"/>
      <c r="R496" s="349"/>
      <c r="S496" s="349"/>
      <c r="T496" s="349"/>
      <c r="U496" s="349"/>
      <c r="V496" s="349"/>
      <c r="W496" s="349"/>
      <c r="X496" s="349"/>
      <c r="Y496" s="349"/>
      <c r="Z496" s="349"/>
      <c r="AA496" s="349"/>
      <c r="AB496" s="349"/>
      <c r="AC496" s="349"/>
      <c r="AD496" s="349"/>
      <c r="AE496" s="349"/>
      <c r="AF496" s="349"/>
      <c r="AG496" s="349"/>
      <c r="AH496" s="349"/>
      <c r="AI496" s="349"/>
      <c r="AJ496" s="349"/>
      <c r="AK496" s="349"/>
      <c r="AL496" s="349"/>
      <c r="AM496" s="349"/>
      <c r="AN496" s="349"/>
      <c r="AO496" s="349"/>
      <c r="AP496" s="349"/>
      <c r="AQ496" s="349"/>
      <c r="AR496" s="349"/>
      <c r="AS496" s="349"/>
      <c r="AT496" s="349"/>
      <c r="AU496" s="349"/>
      <c r="AV496" s="349"/>
      <c r="AW496" s="349"/>
      <c r="AX496" s="349"/>
      <c r="AY496" s="349"/>
      <c r="AZ496" s="349"/>
      <c r="BA496" s="349"/>
      <c r="BB496" s="349"/>
      <c r="BC496" s="349"/>
      <c r="BD496" s="349"/>
      <c r="BE496" s="349"/>
      <c r="BF496" s="349"/>
      <c r="BG496" s="349"/>
      <c r="BH496" s="349"/>
      <c r="BI496" s="349"/>
      <c r="BJ496" s="349"/>
      <c r="BK496" s="349"/>
      <c r="BL496" s="349"/>
      <c r="BM496" s="349"/>
      <c r="BN496" s="349"/>
      <c r="BO496" s="349"/>
      <c r="BP496" s="349"/>
      <c r="BQ496" s="349"/>
      <c r="BR496" s="349"/>
      <c r="BS496" s="349"/>
    </row>
    <row r="497" spans="1:71" x14ac:dyDescent="0.3">
      <c r="A497" s="349"/>
      <c r="B497" s="349"/>
      <c r="C497" s="349"/>
      <c r="D497" s="349"/>
      <c r="E497" s="349"/>
      <c r="F497" s="349"/>
      <c r="G497" s="349"/>
      <c r="H497" s="349"/>
      <c r="I497" s="349"/>
      <c r="J497" s="349"/>
      <c r="K497" s="349"/>
      <c r="L497" s="349"/>
      <c r="M497" s="349"/>
      <c r="N497" s="349"/>
      <c r="O497" s="349"/>
      <c r="P497" s="349"/>
      <c r="Q497" s="349"/>
      <c r="R497" s="349"/>
      <c r="S497" s="349"/>
      <c r="T497" s="349"/>
      <c r="U497" s="349"/>
      <c r="V497" s="349"/>
      <c r="W497" s="349"/>
      <c r="X497" s="349"/>
      <c r="Y497" s="349"/>
      <c r="Z497" s="349"/>
      <c r="AA497" s="349"/>
      <c r="AB497" s="349"/>
      <c r="AC497" s="349"/>
      <c r="AD497" s="349"/>
      <c r="AE497" s="349"/>
      <c r="AF497" s="349"/>
      <c r="AG497" s="349"/>
      <c r="AH497" s="349"/>
      <c r="AI497" s="349"/>
      <c r="AJ497" s="349"/>
      <c r="AK497" s="349"/>
      <c r="AL497" s="349"/>
      <c r="AM497" s="349"/>
      <c r="AN497" s="349"/>
      <c r="AO497" s="349"/>
      <c r="AP497" s="349"/>
      <c r="AQ497" s="349"/>
      <c r="AR497" s="349"/>
      <c r="AS497" s="349"/>
      <c r="AT497" s="349"/>
      <c r="AU497" s="349"/>
      <c r="AV497" s="349"/>
      <c r="AW497" s="349"/>
      <c r="AX497" s="349"/>
      <c r="AY497" s="349"/>
      <c r="AZ497" s="349"/>
      <c r="BA497" s="349"/>
      <c r="BB497" s="349"/>
      <c r="BC497" s="349"/>
      <c r="BD497" s="349"/>
      <c r="BE497" s="349"/>
      <c r="BF497" s="349"/>
      <c r="BG497" s="349"/>
      <c r="BH497" s="349"/>
      <c r="BI497" s="349"/>
      <c r="BJ497" s="349"/>
      <c r="BK497" s="349"/>
      <c r="BL497" s="349"/>
      <c r="BM497" s="349"/>
      <c r="BN497" s="349"/>
      <c r="BO497" s="349"/>
      <c r="BP497" s="349"/>
      <c r="BQ497" s="349"/>
      <c r="BR497" s="349"/>
      <c r="BS497" s="349"/>
    </row>
    <row r="498" spans="1:71" x14ac:dyDescent="0.3">
      <c r="A498" s="349"/>
      <c r="B498" s="349"/>
      <c r="C498" s="349"/>
      <c r="D498" s="349"/>
      <c r="E498" s="349"/>
      <c r="F498" s="349"/>
      <c r="G498" s="349"/>
      <c r="H498" s="349"/>
      <c r="I498" s="349"/>
      <c r="J498" s="349"/>
      <c r="K498" s="349"/>
      <c r="L498" s="349"/>
      <c r="M498" s="349"/>
      <c r="N498" s="349"/>
      <c r="O498" s="349"/>
      <c r="P498" s="349"/>
      <c r="Q498" s="349"/>
      <c r="R498" s="349"/>
      <c r="S498" s="349"/>
      <c r="T498" s="349"/>
      <c r="U498" s="349"/>
      <c r="V498" s="349"/>
      <c r="W498" s="349"/>
      <c r="X498" s="349"/>
      <c r="Y498" s="349"/>
      <c r="Z498" s="349"/>
      <c r="AA498" s="349"/>
      <c r="AB498" s="349"/>
      <c r="AC498" s="349"/>
      <c r="AD498" s="349"/>
      <c r="AE498" s="349"/>
      <c r="AF498" s="349"/>
      <c r="AG498" s="349"/>
      <c r="AH498" s="349"/>
      <c r="AI498" s="349"/>
      <c r="AJ498" s="349"/>
      <c r="AK498" s="349"/>
      <c r="AL498" s="349"/>
      <c r="AM498" s="349"/>
      <c r="AN498" s="349"/>
      <c r="AO498" s="349"/>
      <c r="AP498" s="349"/>
      <c r="AQ498" s="349"/>
      <c r="AR498" s="349"/>
      <c r="AS498" s="349"/>
      <c r="AT498" s="349"/>
      <c r="AU498" s="349"/>
      <c r="AV498" s="349"/>
      <c r="AW498" s="349"/>
      <c r="AX498" s="349"/>
      <c r="AY498" s="349"/>
      <c r="AZ498" s="349"/>
      <c r="BA498" s="349"/>
      <c r="BB498" s="349"/>
      <c r="BC498" s="349"/>
      <c r="BD498" s="349"/>
      <c r="BE498" s="349"/>
      <c r="BF498" s="349"/>
      <c r="BG498" s="349"/>
      <c r="BH498" s="349"/>
      <c r="BI498" s="349"/>
      <c r="BJ498" s="349"/>
      <c r="BK498" s="349"/>
      <c r="BL498" s="349"/>
      <c r="BM498" s="349"/>
      <c r="BN498" s="349"/>
      <c r="BO498" s="349"/>
      <c r="BP498" s="349"/>
      <c r="BQ498" s="349"/>
      <c r="BR498" s="349"/>
      <c r="BS498" s="349"/>
    </row>
    <row r="499" spans="1:71" x14ac:dyDescent="0.3">
      <c r="A499" s="349"/>
      <c r="B499" s="349"/>
      <c r="C499" s="349"/>
      <c r="D499" s="349"/>
      <c r="E499" s="349"/>
      <c r="F499" s="349"/>
      <c r="G499" s="349"/>
      <c r="H499" s="349"/>
      <c r="I499" s="349"/>
      <c r="J499" s="349"/>
      <c r="K499" s="349"/>
      <c r="L499" s="349"/>
      <c r="M499" s="349"/>
      <c r="N499" s="349"/>
      <c r="O499" s="349"/>
      <c r="P499" s="349"/>
      <c r="Q499" s="349"/>
      <c r="R499" s="349"/>
      <c r="S499" s="349"/>
      <c r="T499" s="349"/>
      <c r="U499" s="349"/>
      <c r="V499" s="349"/>
      <c r="W499" s="349"/>
      <c r="X499" s="349"/>
      <c r="Y499" s="349"/>
      <c r="Z499" s="349"/>
      <c r="AA499" s="349"/>
      <c r="AB499" s="349"/>
      <c r="AC499" s="349"/>
      <c r="AD499" s="349"/>
      <c r="AE499" s="349"/>
      <c r="AF499" s="349"/>
      <c r="AG499" s="349"/>
      <c r="AH499" s="349"/>
      <c r="AI499" s="349"/>
      <c r="AJ499" s="349"/>
      <c r="AK499" s="349"/>
      <c r="AL499" s="349"/>
      <c r="AM499" s="349"/>
      <c r="AN499" s="349"/>
      <c r="AO499" s="349"/>
      <c r="AP499" s="349"/>
      <c r="AQ499" s="349"/>
      <c r="AR499" s="349"/>
      <c r="AS499" s="349"/>
      <c r="AT499" s="349"/>
      <c r="AU499" s="349"/>
      <c r="AV499" s="349"/>
      <c r="AW499" s="349"/>
      <c r="AX499" s="349"/>
      <c r="AY499" s="349"/>
      <c r="AZ499" s="349"/>
      <c r="BA499" s="349"/>
      <c r="BB499" s="349"/>
      <c r="BC499" s="349"/>
      <c r="BD499" s="349"/>
      <c r="BE499" s="349"/>
      <c r="BF499" s="349"/>
      <c r="BG499" s="349"/>
      <c r="BH499" s="349"/>
      <c r="BI499" s="349"/>
      <c r="BJ499" s="349"/>
      <c r="BK499" s="349"/>
      <c r="BL499" s="349"/>
      <c r="BM499" s="349"/>
      <c r="BN499" s="349"/>
      <c r="BO499" s="349"/>
      <c r="BP499" s="349"/>
      <c r="BQ499" s="349"/>
      <c r="BR499" s="349"/>
      <c r="BS499" s="349"/>
    </row>
    <row r="500" spans="1:71" x14ac:dyDescent="0.3">
      <c r="A500" s="349"/>
      <c r="B500" s="349"/>
      <c r="C500" s="349"/>
      <c r="D500" s="349"/>
      <c r="E500" s="349"/>
      <c r="F500" s="349"/>
      <c r="G500" s="349"/>
      <c r="H500" s="349"/>
      <c r="I500" s="349"/>
      <c r="J500" s="349"/>
      <c r="K500" s="349"/>
      <c r="L500" s="349"/>
      <c r="M500" s="349"/>
      <c r="N500" s="349"/>
      <c r="O500" s="349"/>
      <c r="P500" s="349"/>
      <c r="Q500" s="349"/>
      <c r="R500" s="349"/>
      <c r="S500" s="349"/>
      <c r="T500" s="349"/>
      <c r="U500" s="349"/>
      <c r="V500" s="349"/>
      <c r="W500" s="349"/>
      <c r="X500" s="349"/>
      <c r="Y500" s="349"/>
      <c r="Z500" s="349"/>
      <c r="AA500" s="349"/>
      <c r="AB500" s="349"/>
      <c r="AC500" s="349"/>
      <c r="AD500" s="349"/>
      <c r="AE500" s="349"/>
      <c r="AF500" s="349"/>
      <c r="AG500" s="349"/>
      <c r="AH500" s="349"/>
      <c r="AI500" s="349"/>
      <c r="AJ500" s="349"/>
      <c r="AK500" s="349"/>
      <c r="AL500" s="349"/>
      <c r="AM500" s="349"/>
      <c r="AN500" s="349"/>
      <c r="AO500" s="349"/>
      <c r="AP500" s="349"/>
      <c r="AQ500" s="349"/>
      <c r="AR500" s="349"/>
      <c r="AS500" s="349"/>
      <c r="AT500" s="349"/>
      <c r="AU500" s="349"/>
      <c r="AV500" s="349"/>
      <c r="AW500" s="349"/>
      <c r="AX500" s="349"/>
      <c r="AY500" s="349"/>
      <c r="AZ500" s="349"/>
      <c r="BA500" s="349"/>
      <c r="BB500" s="349"/>
      <c r="BC500" s="349"/>
      <c r="BD500" s="349"/>
      <c r="BE500" s="349"/>
      <c r="BF500" s="349"/>
      <c r="BG500" s="349"/>
      <c r="BH500" s="349"/>
      <c r="BI500" s="349"/>
      <c r="BJ500" s="349"/>
      <c r="BK500" s="349"/>
      <c r="BL500" s="349"/>
      <c r="BM500" s="349"/>
      <c r="BN500" s="349"/>
      <c r="BO500" s="349"/>
      <c r="BP500" s="349"/>
      <c r="BQ500" s="349"/>
      <c r="BR500" s="349"/>
      <c r="BS500" s="349"/>
    </row>
    <row r="501" spans="1:71" x14ac:dyDescent="0.3">
      <c r="A501" s="349"/>
      <c r="B501" s="349"/>
      <c r="C501" s="349"/>
      <c r="D501" s="349"/>
      <c r="E501" s="349"/>
      <c r="F501" s="349"/>
      <c r="G501" s="349"/>
      <c r="H501" s="349"/>
      <c r="I501" s="349"/>
      <c r="J501" s="349"/>
      <c r="K501" s="349"/>
      <c r="L501" s="349"/>
      <c r="M501" s="349"/>
      <c r="N501" s="349"/>
      <c r="O501" s="349"/>
      <c r="P501" s="349"/>
      <c r="Q501" s="349"/>
      <c r="R501" s="349"/>
      <c r="S501" s="349"/>
      <c r="T501" s="349"/>
      <c r="U501" s="349"/>
      <c r="V501" s="349"/>
      <c r="W501" s="349"/>
      <c r="X501" s="349"/>
      <c r="Y501" s="349"/>
      <c r="Z501" s="349"/>
      <c r="AA501" s="349"/>
      <c r="AB501" s="349"/>
      <c r="AC501" s="349"/>
      <c r="AD501" s="349"/>
      <c r="AE501" s="349"/>
      <c r="AF501" s="349"/>
      <c r="AG501" s="349"/>
      <c r="AH501" s="349"/>
      <c r="AI501" s="349"/>
      <c r="AJ501" s="349"/>
      <c r="AK501" s="349"/>
      <c r="AL501" s="349"/>
      <c r="AM501" s="349"/>
      <c r="AN501" s="349"/>
      <c r="AO501" s="349"/>
      <c r="AP501" s="349"/>
      <c r="AQ501" s="349"/>
      <c r="AR501" s="349"/>
      <c r="AS501" s="349"/>
      <c r="AT501" s="349"/>
      <c r="AU501" s="349"/>
      <c r="AV501" s="349"/>
      <c r="AW501" s="349"/>
      <c r="AX501" s="349"/>
      <c r="AY501" s="349"/>
      <c r="AZ501" s="349"/>
      <c r="BA501" s="349"/>
      <c r="BB501" s="349"/>
      <c r="BC501" s="349"/>
      <c r="BD501" s="349"/>
      <c r="BE501" s="349"/>
      <c r="BF501" s="349"/>
      <c r="BG501" s="349"/>
      <c r="BH501" s="349"/>
      <c r="BI501" s="349"/>
      <c r="BJ501" s="349"/>
      <c r="BK501" s="349"/>
      <c r="BL501" s="349"/>
      <c r="BM501" s="349"/>
      <c r="BN501" s="349"/>
      <c r="BO501" s="349"/>
      <c r="BP501" s="349"/>
      <c r="BQ501" s="349"/>
      <c r="BR501" s="349"/>
      <c r="BS501" s="349"/>
    </row>
    <row r="502" spans="1:71" x14ac:dyDescent="0.3">
      <c r="A502" s="349"/>
      <c r="B502" s="349"/>
      <c r="C502" s="349"/>
      <c r="D502" s="349"/>
      <c r="E502" s="349"/>
      <c r="F502" s="349"/>
      <c r="G502" s="349"/>
      <c r="H502" s="349"/>
      <c r="I502" s="349"/>
      <c r="J502" s="349"/>
      <c r="K502" s="349"/>
      <c r="L502" s="349"/>
      <c r="M502" s="349"/>
      <c r="N502" s="349"/>
      <c r="O502" s="349"/>
      <c r="P502" s="349"/>
      <c r="Q502" s="349"/>
      <c r="R502" s="349"/>
      <c r="S502" s="349"/>
      <c r="T502" s="349"/>
      <c r="U502" s="349"/>
      <c r="V502" s="349"/>
      <c r="W502" s="349"/>
      <c r="X502" s="349"/>
      <c r="Y502" s="349"/>
      <c r="Z502" s="349"/>
      <c r="AA502" s="349"/>
      <c r="AB502" s="349"/>
      <c r="AC502" s="349"/>
      <c r="AD502" s="349"/>
      <c r="AE502" s="349"/>
      <c r="AF502" s="349"/>
      <c r="AG502" s="349"/>
      <c r="AH502" s="349"/>
      <c r="AI502" s="349"/>
      <c r="AJ502" s="349"/>
      <c r="AK502" s="349"/>
      <c r="AL502" s="349"/>
      <c r="AM502" s="349"/>
      <c r="AN502" s="349"/>
      <c r="AO502" s="349"/>
      <c r="AP502" s="349"/>
      <c r="AQ502" s="349"/>
      <c r="AR502" s="349"/>
      <c r="AS502" s="349"/>
      <c r="AT502" s="349"/>
      <c r="AU502" s="349"/>
      <c r="AV502" s="349"/>
      <c r="AW502" s="349"/>
      <c r="AX502" s="349"/>
      <c r="AY502" s="349"/>
      <c r="AZ502" s="349"/>
      <c r="BA502" s="349"/>
      <c r="BB502" s="349"/>
      <c r="BC502" s="349"/>
      <c r="BD502" s="349"/>
      <c r="BE502" s="349"/>
      <c r="BF502" s="349"/>
      <c r="BG502" s="349"/>
      <c r="BH502" s="349"/>
      <c r="BI502" s="349"/>
      <c r="BJ502" s="349"/>
      <c r="BK502" s="349"/>
      <c r="BL502" s="349"/>
      <c r="BM502" s="349"/>
      <c r="BN502" s="349"/>
      <c r="BO502" s="349"/>
      <c r="BP502" s="349"/>
      <c r="BQ502" s="349"/>
      <c r="BR502" s="349"/>
      <c r="BS502" s="349"/>
    </row>
    <row r="503" spans="1:71" x14ac:dyDescent="0.3">
      <c r="A503" s="349"/>
      <c r="B503" s="349"/>
      <c r="C503" s="349"/>
      <c r="D503" s="349"/>
      <c r="E503" s="349"/>
      <c r="F503" s="349"/>
      <c r="G503" s="349"/>
      <c r="H503" s="349"/>
      <c r="I503" s="349"/>
      <c r="J503" s="349"/>
      <c r="K503" s="349"/>
      <c r="L503" s="349"/>
      <c r="M503" s="349"/>
      <c r="N503" s="349"/>
      <c r="O503" s="349"/>
      <c r="P503" s="349"/>
      <c r="Q503" s="349"/>
      <c r="R503" s="349"/>
      <c r="S503" s="349"/>
      <c r="T503" s="349"/>
      <c r="U503" s="349"/>
      <c r="V503" s="349"/>
      <c r="W503" s="349"/>
      <c r="X503" s="349"/>
      <c r="Y503" s="349"/>
      <c r="Z503" s="349"/>
      <c r="AA503" s="349"/>
      <c r="AB503" s="349"/>
      <c r="AC503" s="349"/>
      <c r="AD503" s="349"/>
      <c r="AE503" s="349"/>
      <c r="AF503" s="349"/>
      <c r="AG503" s="349"/>
      <c r="AH503" s="349"/>
      <c r="AI503" s="349"/>
      <c r="AJ503" s="349"/>
      <c r="AK503" s="349"/>
      <c r="AL503" s="349"/>
      <c r="AM503" s="349"/>
      <c r="AN503" s="349"/>
      <c r="AO503" s="349"/>
      <c r="AP503" s="349"/>
      <c r="AQ503" s="349"/>
      <c r="AR503" s="349"/>
      <c r="AS503" s="349"/>
      <c r="AT503" s="349"/>
      <c r="AU503" s="349"/>
      <c r="AV503" s="349"/>
      <c r="AW503" s="349"/>
      <c r="AX503" s="349"/>
      <c r="AY503" s="349"/>
      <c r="AZ503" s="349"/>
      <c r="BA503" s="349"/>
      <c r="BB503" s="349"/>
      <c r="BC503" s="349"/>
      <c r="BD503" s="349"/>
      <c r="BE503" s="349"/>
      <c r="BF503" s="349"/>
      <c r="BG503" s="349"/>
      <c r="BH503" s="349"/>
      <c r="BI503" s="349"/>
      <c r="BJ503" s="349"/>
      <c r="BK503" s="349"/>
      <c r="BL503" s="349"/>
      <c r="BM503" s="349"/>
      <c r="BN503" s="349"/>
      <c r="BO503" s="349"/>
      <c r="BP503" s="349"/>
      <c r="BQ503" s="349"/>
      <c r="BR503" s="349"/>
      <c r="BS503" s="349"/>
    </row>
    <row r="504" spans="1:71" x14ac:dyDescent="0.3">
      <c r="A504" s="349"/>
      <c r="B504" s="349"/>
      <c r="C504" s="349"/>
      <c r="D504" s="349"/>
      <c r="E504" s="349"/>
      <c r="F504" s="349"/>
      <c r="G504" s="349"/>
      <c r="H504" s="349"/>
      <c r="I504" s="349"/>
      <c r="J504" s="349"/>
      <c r="K504" s="349"/>
      <c r="L504" s="349"/>
      <c r="M504" s="349"/>
      <c r="N504" s="349"/>
      <c r="O504" s="349"/>
      <c r="P504" s="349"/>
      <c r="Q504" s="349"/>
      <c r="R504" s="349"/>
      <c r="S504" s="349"/>
      <c r="T504" s="349"/>
      <c r="U504" s="349"/>
      <c r="V504" s="349"/>
      <c r="W504" s="349"/>
      <c r="X504" s="349"/>
      <c r="Y504" s="349"/>
      <c r="Z504" s="349"/>
      <c r="AA504" s="349"/>
      <c r="AB504" s="349"/>
      <c r="AC504" s="349"/>
      <c r="AD504" s="349"/>
      <c r="AE504" s="349"/>
      <c r="AF504" s="349"/>
      <c r="AG504" s="349"/>
      <c r="AH504" s="349"/>
      <c r="AI504" s="349"/>
      <c r="AJ504" s="349"/>
      <c r="AK504" s="349"/>
      <c r="AL504" s="349"/>
      <c r="AM504" s="349"/>
      <c r="AN504" s="349"/>
      <c r="AO504" s="349"/>
      <c r="AP504" s="349"/>
      <c r="AQ504" s="349"/>
      <c r="AR504" s="349"/>
      <c r="AS504" s="349"/>
      <c r="AT504" s="349"/>
      <c r="AU504" s="349"/>
      <c r="AV504" s="349"/>
      <c r="AW504" s="349"/>
      <c r="AX504" s="349"/>
      <c r="AY504" s="349"/>
      <c r="AZ504" s="349"/>
      <c r="BA504" s="349"/>
      <c r="BB504" s="349"/>
      <c r="BC504" s="349"/>
      <c r="BD504" s="349"/>
      <c r="BE504" s="349"/>
      <c r="BF504" s="349"/>
      <c r="BG504" s="349"/>
      <c r="BH504" s="349"/>
      <c r="BI504" s="349"/>
      <c r="BJ504" s="349"/>
      <c r="BK504" s="349"/>
      <c r="BL504" s="349"/>
      <c r="BM504" s="349"/>
      <c r="BN504" s="349"/>
      <c r="BO504" s="349"/>
      <c r="BP504" s="349"/>
      <c r="BQ504" s="349"/>
      <c r="BR504" s="349"/>
      <c r="BS504" s="349"/>
    </row>
    <row r="505" spans="1:71" x14ac:dyDescent="0.3">
      <c r="A505" s="349"/>
      <c r="B505" s="349"/>
      <c r="C505" s="349"/>
      <c r="D505" s="349"/>
      <c r="E505" s="349"/>
      <c r="F505" s="349"/>
      <c r="G505" s="349"/>
      <c r="H505" s="349"/>
      <c r="I505" s="349"/>
      <c r="J505" s="349"/>
      <c r="K505" s="349"/>
      <c r="L505" s="349"/>
      <c r="M505" s="349"/>
      <c r="N505" s="349"/>
      <c r="O505" s="349"/>
      <c r="P505" s="349"/>
      <c r="Q505" s="349"/>
      <c r="R505" s="349"/>
      <c r="S505" s="349"/>
      <c r="T505" s="349"/>
      <c r="U505" s="349"/>
      <c r="V505" s="349"/>
      <c r="W505" s="349"/>
      <c r="X505" s="349"/>
      <c r="Y505" s="349"/>
      <c r="Z505" s="349"/>
      <c r="AA505" s="349"/>
      <c r="AB505" s="349"/>
      <c r="AC505" s="349"/>
      <c r="AD505" s="349"/>
      <c r="AE505" s="349"/>
      <c r="AF505" s="349"/>
      <c r="AG505" s="349"/>
      <c r="AH505" s="349"/>
      <c r="AI505" s="349"/>
      <c r="AJ505" s="349"/>
      <c r="AK505" s="349"/>
      <c r="AL505" s="349"/>
      <c r="AM505" s="349"/>
      <c r="AN505" s="349"/>
      <c r="AO505" s="349"/>
      <c r="AP505" s="349"/>
      <c r="AQ505" s="349"/>
      <c r="AR505" s="349"/>
      <c r="AS505" s="349"/>
      <c r="AT505" s="349"/>
      <c r="AU505" s="349"/>
      <c r="AV505" s="349"/>
      <c r="AW505" s="349"/>
      <c r="AX505" s="349"/>
      <c r="AY505" s="349"/>
      <c r="AZ505" s="349"/>
      <c r="BA505" s="349"/>
      <c r="BB505" s="349"/>
      <c r="BC505" s="349"/>
      <c r="BD505" s="349"/>
      <c r="BE505" s="349"/>
      <c r="BF505" s="349"/>
      <c r="BG505" s="349"/>
      <c r="BH505" s="349"/>
      <c r="BI505" s="349"/>
      <c r="BJ505" s="349"/>
      <c r="BK505" s="349"/>
      <c r="BL505" s="349"/>
      <c r="BM505" s="349"/>
      <c r="BN505" s="349"/>
      <c r="BO505" s="349"/>
      <c r="BP505" s="349"/>
      <c r="BQ505" s="349"/>
      <c r="BR505" s="349"/>
      <c r="BS505" s="349"/>
    </row>
    <row r="506" spans="1:71" x14ac:dyDescent="0.3">
      <c r="A506" s="349"/>
      <c r="B506" s="349"/>
      <c r="C506" s="349"/>
      <c r="D506" s="349"/>
      <c r="E506" s="349"/>
      <c r="F506" s="349"/>
      <c r="G506" s="349"/>
      <c r="H506" s="349"/>
      <c r="I506" s="349"/>
      <c r="J506" s="349"/>
      <c r="K506" s="349"/>
      <c r="L506" s="349"/>
      <c r="M506" s="349"/>
      <c r="N506" s="349"/>
      <c r="O506" s="349"/>
      <c r="P506" s="349"/>
      <c r="Q506" s="349"/>
      <c r="R506" s="349"/>
      <c r="S506" s="349"/>
      <c r="T506" s="349"/>
      <c r="U506" s="349"/>
      <c r="V506" s="349"/>
      <c r="W506" s="349"/>
      <c r="X506" s="349"/>
      <c r="Y506" s="349"/>
      <c r="Z506" s="349"/>
      <c r="AA506" s="349"/>
      <c r="AB506" s="349"/>
      <c r="AC506" s="349"/>
      <c r="AD506" s="349"/>
      <c r="AE506" s="349"/>
      <c r="AF506" s="349"/>
      <c r="AG506" s="349"/>
      <c r="AH506" s="349"/>
      <c r="AI506" s="349"/>
      <c r="AJ506" s="349"/>
      <c r="AK506" s="349"/>
      <c r="AL506" s="349"/>
      <c r="AM506" s="349"/>
      <c r="AN506" s="349"/>
      <c r="AO506" s="349"/>
      <c r="AP506" s="349"/>
      <c r="AQ506" s="349"/>
      <c r="AR506" s="349"/>
      <c r="AS506" s="349"/>
      <c r="AT506" s="349"/>
      <c r="AU506" s="349"/>
      <c r="AV506" s="349"/>
      <c r="AW506" s="349"/>
      <c r="AX506" s="349"/>
      <c r="AY506" s="349"/>
      <c r="AZ506" s="349"/>
      <c r="BA506" s="349"/>
      <c r="BB506" s="349"/>
      <c r="BC506" s="349"/>
      <c r="BD506" s="349"/>
      <c r="BE506" s="349"/>
      <c r="BF506" s="349"/>
      <c r="BG506" s="349"/>
      <c r="BH506" s="349"/>
      <c r="BI506" s="349"/>
      <c r="BJ506" s="349"/>
      <c r="BK506" s="349"/>
      <c r="BL506" s="349"/>
      <c r="BM506" s="349"/>
      <c r="BN506" s="349"/>
      <c r="BO506" s="349"/>
      <c r="BP506" s="349"/>
      <c r="BQ506" s="349"/>
      <c r="BR506" s="349"/>
      <c r="BS506" s="349"/>
    </row>
    <row r="507" spans="1:71" x14ac:dyDescent="0.3">
      <c r="A507" s="349"/>
      <c r="B507" s="349"/>
      <c r="C507" s="349"/>
      <c r="D507" s="349"/>
      <c r="E507" s="349"/>
      <c r="F507" s="349"/>
      <c r="G507" s="349"/>
      <c r="H507" s="349"/>
      <c r="I507" s="349"/>
      <c r="J507" s="349"/>
      <c r="K507" s="349"/>
      <c r="L507" s="349"/>
      <c r="M507" s="349"/>
      <c r="N507" s="349"/>
      <c r="O507" s="349"/>
      <c r="P507" s="349"/>
      <c r="Q507" s="349"/>
      <c r="R507" s="349"/>
      <c r="S507" s="349"/>
      <c r="T507" s="349"/>
      <c r="U507" s="349"/>
      <c r="V507" s="349"/>
      <c r="W507" s="349"/>
      <c r="X507" s="349"/>
      <c r="Y507" s="349"/>
      <c r="Z507" s="349"/>
      <c r="AA507" s="349"/>
      <c r="AB507" s="349"/>
      <c r="AC507" s="349"/>
      <c r="AD507" s="349"/>
      <c r="AE507" s="349"/>
      <c r="AF507" s="349"/>
      <c r="AG507" s="349"/>
      <c r="AH507" s="349"/>
      <c r="AI507" s="349"/>
      <c r="AJ507" s="349"/>
      <c r="AK507" s="349"/>
      <c r="AL507" s="349"/>
      <c r="AM507" s="349"/>
      <c r="AN507" s="349"/>
      <c r="AO507" s="349"/>
      <c r="AP507" s="349"/>
      <c r="AQ507" s="349"/>
      <c r="AR507" s="349"/>
      <c r="AS507" s="349"/>
      <c r="AT507" s="349"/>
      <c r="AU507" s="349"/>
      <c r="AV507" s="349"/>
      <c r="AW507" s="349"/>
      <c r="AX507" s="349"/>
      <c r="AY507" s="349"/>
      <c r="AZ507" s="349"/>
      <c r="BA507" s="349"/>
      <c r="BB507" s="349"/>
      <c r="BC507" s="349"/>
      <c r="BD507" s="349"/>
      <c r="BE507" s="349"/>
      <c r="BF507" s="349"/>
      <c r="BG507" s="349"/>
      <c r="BH507" s="349"/>
      <c r="BI507" s="349"/>
      <c r="BJ507" s="349"/>
      <c r="BK507" s="349"/>
      <c r="BL507" s="349"/>
      <c r="BM507" s="349"/>
      <c r="BN507" s="349"/>
      <c r="BO507" s="349"/>
      <c r="BP507" s="349"/>
      <c r="BQ507" s="349"/>
      <c r="BR507" s="349"/>
      <c r="BS507" s="349"/>
    </row>
    <row r="508" spans="1:71" x14ac:dyDescent="0.3">
      <c r="A508" s="349"/>
      <c r="B508" s="349"/>
      <c r="C508" s="349"/>
      <c r="D508" s="349"/>
      <c r="E508" s="349"/>
      <c r="F508" s="349"/>
      <c r="G508" s="349"/>
      <c r="H508" s="349"/>
      <c r="I508" s="349"/>
      <c r="J508" s="349"/>
      <c r="K508" s="349"/>
      <c r="L508" s="349"/>
      <c r="M508" s="349"/>
      <c r="N508" s="349"/>
      <c r="O508" s="349"/>
      <c r="P508" s="349"/>
      <c r="Q508" s="349"/>
      <c r="R508" s="349"/>
      <c r="S508" s="349"/>
      <c r="T508" s="349"/>
      <c r="U508" s="349"/>
      <c r="V508" s="349"/>
      <c r="W508" s="349"/>
      <c r="X508" s="349"/>
      <c r="Y508" s="349"/>
      <c r="Z508" s="349"/>
      <c r="AA508" s="349"/>
      <c r="AB508" s="349"/>
      <c r="AC508" s="349"/>
      <c r="AD508" s="349"/>
      <c r="AE508" s="349"/>
      <c r="AF508" s="349"/>
      <c r="AG508" s="349"/>
      <c r="AH508" s="349"/>
      <c r="AI508" s="349"/>
      <c r="AJ508" s="349"/>
      <c r="AK508" s="349"/>
      <c r="AL508" s="349"/>
      <c r="AM508" s="349"/>
      <c r="AN508" s="349"/>
      <c r="AO508" s="349"/>
      <c r="AP508" s="349"/>
      <c r="AQ508" s="349"/>
      <c r="AR508" s="349"/>
      <c r="AS508" s="349"/>
      <c r="AT508" s="349"/>
      <c r="AU508" s="349"/>
      <c r="AV508" s="349"/>
      <c r="AW508" s="349"/>
      <c r="AX508" s="349"/>
      <c r="AY508" s="349"/>
      <c r="AZ508" s="349"/>
      <c r="BA508" s="349"/>
      <c r="BB508" s="349"/>
      <c r="BC508" s="349"/>
      <c r="BD508" s="349"/>
      <c r="BE508" s="349"/>
      <c r="BF508" s="349"/>
      <c r="BG508" s="349"/>
      <c r="BH508" s="349"/>
      <c r="BI508" s="349"/>
      <c r="BJ508" s="349"/>
      <c r="BK508" s="349"/>
      <c r="BL508" s="349"/>
      <c r="BM508" s="349"/>
      <c r="BN508" s="349"/>
      <c r="BO508" s="349"/>
      <c r="BP508" s="349"/>
      <c r="BQ508" s="349"/>
      <c r="BR508" s="349"/>
      <c r="BS508" s="349"/>
    </row>
    <row r="509" spans="1:71" x14ac:dyDescent="0.3">
      <c r="A509" s="349"/>
      <c r="B509" s="349"/>
      <c r="C509" s="349"/>
      <c r="D509" s="349"/>
      <c r="E509" s="349"/>
      <c r="F509" s="349"/>
      <c r="G509" s="349"/>
      <c r="H509" s="349"/>
      <c r="I509" s="349"/>
      <c r="J509" s="349"/>
      <c r="K509" s="349"/>
      <c r="L509" s="349"/>
      <c r="M509" s="349"/>
      <c r="N509" s="349"/>
      <c r="O509" s="349"/>
      <c r="P509" s="349"/>
      <c r="Q509" s="349"/>
      <c r="R509" s="349"/>
      <c r="S509" s="349"/>
      <c r="T509" s="349"/>
      <c r="U509" s="349"/>
      <c r="V509" s="349"/>
      <c r="W509" s="349"/>
      <c r="X509" s="349"/>
      <c r="Y509" s="349"/>
      <c r="Z509" s="349"/>
      <c r="AA509" s="349"/>
      <c r="AB509" s="349"/>
      <c r="AC509" s="349"/>
      <c r="AD509" s="349"/>
      <c r="AE509" s="349"/>
      <c r="AF509" s="349"/>
      <c r="AG509" s="349"/>
      <c r="AH509" s="349"/>
      <c r="AI509" s="349"/>
      <c r="AJ509" s="349"/>
      <c r="AK509" s="349"/>
      <c r="AL509" s="349"/>
      <c r="AM509" s="349"/>
      <c r="AN509" s="349"/>
      <c r="AO509" s="349"/>
      <c r="AP509" s="349"/>
      <c r="AQ509" s="349"/>
      <c r="AR509" s="349"/>
      <c r="AS509" s="349"/>
      <c r="AT509" s="349"/>
      <c r="AU509" s="349"/>
      <c r="AV509" s="349"/>
      <c r="AW509" s="349"/>
      <c r="AX509" s="349"/>
      <c r="AY509" s="349"/>
      <c r="AZ509" s="349"/>
      <c r="BA509" s="349"/>
      <c r="BB509" s="349"/>
      <c r="BC509" s="349"/>
      <c r="BD509" s="349"/>
      <c r="BE509" s="349"/>
      <c r="BF509" s="349"/>
      <c r="BG509" s="349"/>
      <c r="BH509" s="349"/>
      <c r="BI509" s="349"/>
      <c r="BJ509" s="349"/>
      <c r="BK509" s="349"/>
      <c r="BL509" s="349"/>
      <c r="BM509" s="349"/>
      <c r="BN509" s="349"/>
      <c r="BO509" s="349"/>
      <c r="BP509" s="349"/>
      <c r="BQ509" s="349"/>
      <c r="BR509" s="349"/>
      <c r="BS509" s="349"/>
    </row>
    <row r="510" spans="1:71" x14ac:dyDescent="0.3">
      <c r="A510" s="349"/>
      <c r="B510" s="349"/>
      <c r="C510" s="349"/>
      <c r="D510" s="349"/>
      <c r="E510" s="349"/>
      <c r="F510" s="349"/>
      <c r="G510" s="349"/>
      <c r="H510" s="349"/>
      <c r="I510" s="349"/>
      <c r="J510" s="349"/>
      <c r="K510" s="349"/>
      <c r="L510" s="349"/>
      <c r="M510" s="349"/>
      <c r="N510" s="349"/>
      <c r="O510" s="349"/>
      <c r="P510" s="349"/>
      <c r="Q510" s="349"/>
      <c r="R510" s="349"/>
      <c r="S510" s="349"/>
      <c r="T510" s="349"/>
      <c r="U510" s="349"/>
      <c r="V510" s="349"/>
      <c r="W510" s="349"/>
      <c r="X510" s="349"/>
      <c r="Y510" s="349"/>
      <c r="Z510" s="349"/>
      <c r="AA510" s="349"/>
      <c r="AB510" s="349"/>
      <c r="AC510" s="349"/>
      <c r="AD510" s="349"/>
      <c r="AE510" s="349"/>
      <c r="AF510" s="349"/>
      <c r="AG510" s="349"/>
      <c r="AH510" s="349"/>
      <c r="AI510" s="349"/>
      <c r="AJ510" s="349"/>
      <c r="AK510" s="349"/>
      <c r="AL510" s="349"/>
      <c r="AM510" s="349"/>
      <c r="AN510" s="349"/>
      <c r="AO510" s="349"/>
      <c r="AP510" s="349"/>
      <c r="AQ510" s="349"/>
      <c r="AR510" s="349"/>
      <c r="AS510" s="349"/>
      <c r="AT510" s="349"/>
      <c r="AU510" s="349"/>
      <c r="AV510" s="349"/>
      <c r="AW510" s="349"/>
      <c r="AX510" s="349"/>
      <c r="AY510" s="349"/>
      <c r="AZ510" s="349"/>
      <c r="BA510" s="349"/>
      <c r="BB510" s="349"/>
      <c r="BC510" s="349"/>
      <c r="BD510" s="349"/>
      <c r="BE510" s="349"/>
      <c r="BF510" s="349"/>
      <c r="BG510" s="349"/>
      <c r="BH510" s="349"/>
      <c r="BI510" s="349"/>
      <c r="BJ510" s="349"/>
      <c r="BK510" s="349"/>
      <c r="BL510" s="349"/>
      <c r="BM510" s="349"/>
      <c r="BN510" s="349"/>
      <c r="BO510" s="349"/>
      <c r="BP510" s="349"/>
      <c r="BQ510" s="349"/>
      <c r="BR510" s="349"/>
      <c r="BS510" s="349"/>
    </row>
    <row r="511" spans="1:71" x14ac:dyDescent="0.3">
      <c r="A511" s="349"/>
      <c r="B511" s="349"/>
      <c r="C511" s="349"/>
      <c r="D511" s="349"/>
      <c r="E511" s="349"/>
      <c r="F511" s="349"/>
      <c r="G511" s="349"/>
      <c r="H511" s="349"/>
      <c r="I511" s="349"/>
      <c r="J511" s="349"/>
      <c r="K511" s="349"/>
      <c r="L511" s="349"/>
      <c r="M511" s="349"/>
      <c r="N511" s="349"/>
      <c r="O511" s="349"/>
      <c r="P511" s="349"/>
      <c r="Q511" s="349"/>
      <c r="R511" s="349"/>
      <c r="S511" s="349"/>
      <c r="T511" s="349"/>
      <c r="U511" s="349"/>
      <c r="V511" s="349"/>
      <c r="W511" s="349"/>
      <c r="X511" s="349"/>
      <c r="Y511" s="349"/>
      <c r="Z511" s="349"/>
      <c r="AA511" s="349"/>
      <c r="AB511" s="349"/>
      <c r="AC511" s="349"/>
      <c r="AD511" s="349"/>
      <c r="AE511" s="349"/>
      <c r="AF511" s="349"/>
      <c r="AG511" s="349"/>
      <c r="AH511" s="349"/>
      <c r="AI511" s="349"/>
      <c r="AJ511" s="349"/>
      <c r="AK511" s="349"/>
      <c r="AL511" s="349"/>
      <c r="AM511" s="349"/>
      <c r="AN511" s="349"/>
      <c r="AO511" s="349"/>
      <c r="AP511" s="349"/>
      <c r="AQ511" s="349"/>
      <c r="AR511" s="349"/>
      <c r="AS511" s="349"/>
      <c r="AT511" s="349"/>
      <c r="AU511" s="349"/>
      <c r="AV511" s="349"/>
      <c r="AW511" s="349"/>
      <c r="AX511" s="349"/>
      <c r="AY511" s="349"/>
      <c r="AZ511" s="349"/>
      <c r="BA511" s="349"/>
      <c r="BB511" s="349"/>
      <c r="BC511" s="349"/>
      <c r="BD511" s="349"/>
      <c r="BE511" s="349"/>
      <c r="BF511" s="349"/>
      <c r="BG511" s="349"/>
      <c r="BH511" s="349"/>
      <c r="BI511" s="349"/>
      <c r="BJ511" s="349"/>
      <c r="BK511" s="349"/>
      <c r="BL511" s="349"/>
      <c r="BM511" s="349"/>
      <c r="BN511" s="349"/>
      <c r="BO511" s="349"/>
      <c r="BP511" s="349"/>
      <c r="BQ511" s="349"/>
      <c r="BR511" s="349"/>
      <c r="BS511" s="349"/>
    </row>
    <row r="512" spans="1:71" x14ac:dyDescent="0.3">
      <c r="A512" s="349"/>
      <c r="B512" s="349"/>
      <c r="C512" s="349"/>
      <c r="D512" s="349"/>
      <c r="E512" s="349"/>
      <c r="F512" s="349"/>
      <c r="G512" s="349"/>
      <c r="H512" s="349"/>
      <c r="I512" s="349"/>
      <c r="J512" s="349"/>
      <c r="K512" s="349"/>
      <c r="L512" s="349"/>
      <c r="M512" s="349"/>
      <c r="N512" s="349"/>
      <c r="O512" s="349"/>
      <c r="P512" s="349"/>
      <c r="Q512" s="349"/>
      <c r="R512" s="349"/>
      <c r="S512" s="349"/>
      <c r="T512" s="349"/>
      <c r="U512" s="349"/>
      <c r="V512" s="349"/>
      <c r="W512" s="349"/>
      <c r="X512" s="349"/>
      <c r="Y512" s="349"/>
      <c r="Z512" s="349"/>
      <c r="AA512" s="349"/>
      <c r="AB512" s="349"/>
      <c r="AC512" s="349"/>
      <c r="AD512" s="349"/>
      <c r="AE512" s="349"/>
      <c r="AF512" s="349"/>
      <c r="AG512" s="349"/>
      <c r="AH512" s="349"/>
      <c r="AI512" s="349"/>
      <c r="AJ512" s="349"/>
      <c r="AK512" s="349"/>
      <c r="AL512" s="349"/>
      <c r="AM512" s="349"/>
      <c r="AN512" s="349"/>
      <c r="AO512" s="349"/>
      <c r="AP512" s="349"/>
      <c r="AQ512" s="349"/>
      <c r="AR512" s="349"/>
      <c r="AS512" s="349"/>
      <c r="AT512" s="349"/>
      <c r="AU512" s="349"/>
      <c r="AV512" s="349"/>
      <c r="AW512" s="349"/>
      <c r="AX512" s="349"/>
      <c r="AY512" s="349"/>
      <c r="AZ512" s="349"/>
      <c r="BA512" s="349"/>
      <c r="BB512" s="349"/>
      <c r="BC512" s="349"/>
      <c r="BD512" s="349"/>
      <c r="BE512" s="349"/>
      <c r="BF512" s="349"/>
      <c r="BG512" s="349"/>
      <c r="BH512" s="349"/>
      <c r="BI512" s="349"/>
      <c r="BJ512" s="349"/>
      <c r="BK512" s="349"/>
      <c r="BL512" s="349"/>
      <c r="BM512" s="349"/>
      <c r="BN512" s="349"/>
      <c r="BO512" s="349"/>
      <c r="BP512" s="349"/>
      <c r="BQ512" s="349"/>
      <c r="BR512" s="349"/>
      <c r="BS512" s="349"/>
    </row>
    <row r="513" spans="1:71" x14ac:dyDescent="0.3">
      <c r="A513" s="349"/>
      <c r="B513" s="349"/>
      <c r="C513" s="349"/>
      <c r="D513" s="349"/>
      <c r="E513" s="349"/>
      <c r="F513" s="349"/>
      <c r="G513" s="349"/>
      <c r="H513" s="349"/>
      <c r="I513" s="349"/>
      <c r="J513" s="349"/>
      <c r="K513" s="349"/>
      <c r="L513" s="349"/>
      <c r="M513" s="349"/>
      <c r="N513" s="349"/>
      <c r="O513" s="349"/>
      <c r="P513" s="349"/>
      <c r="Q513" s="349"/>
      <c r="R513" s="349"/>
      <c r="S513" s="349"/>
      <c r="T513" s="349"/>
      <c r="U513" s="349"/>
      <c r="V513" s="349"/>
      <c r="W513" s="349"/>
      <c r="X513" s="349"/>
      <c r="Y513" s="349"/>
      <c r="Z513" s="349"/>
      <c r="AA513" s="349"/>
      <c r="AB513" s="349"/>
      <c r="AC513" s="349"/>
      <c r="AD513" s="349"/>
      <c r="AE513" s="349"/>
      <c r="AF513" s="349"/>
      <c r="AG513" s="349"/>
      <c r="AH513" s="349"/>
      <c r="AI513" s="349"/>
      <c r="AJ513" s="349"/>
      <c r="AK513" s="349"/>
      <c r="AL513" s="349"/>
      <c r="AM513" s="349"/>
      <c r="AN513" s="349"/>
      <c r="AO513" s="349"/>
      <c r="AP513" s="349"/>
      <c r="AQ513" s="349"/>
      <c r="AR513" s="349"/>
      <c r="AS513" s="349"/>
      <c r="AT513" s="349"/>
      <c r="AU513" s="349"/>
      <c r="AV513" s="349"/>
      <c r="AW513" s="349"/>
      <c r="AX513" s="349"/>
      <c r="AY513" s="349"/>
      <c r="AZ513" s="349"/>
      <c r="BA513" s="349"/>
      <c r="BB513" s="349"/>
      <c r="BC513" s="349"/>
      <c r="BD513" s="349"/>
      <c r="BE513" s="349"/>
      <c r="BF513" s="349"/>
      <c r="BG513" s="349"/>
      <c r="BH513" s="349"/>
      <c r="BI513" s="349"/>
      <c r="BJ513" s="349"/>
      <c r="BK513" s="349"/>
      <c r="BL513" s="349"/>
      <c r="BM513" s="349"/>
      <c r="BN513" s="349"/>
      <c r="BO513" s="349"/>
      <c r="BP513" s="349"/>
      <c r="BQ513" s="349"/>
      <c r="BR513" s="349"/>
      <c r="BS513" s="349"/>
    </row>
    <row r="514" spans="1:71" x14ac:dyDescent="0.3">
      <c r="A514" s="349"/>
      <c r="B514" s="349"/>
      <c r="C514" s="349"/>
      <c r="D514" s="349"/>
      <c r="E514" s="349"/>
      <c r="F514" s="349"/>
      <c r="G514" s="349"/>
      <c r="H514" s="349"/>
      <c r="I514" s="349"/>
      <c r="J514" s="349"/>
      <c r="K514" s="349"/>
      <c r="L514" s="349"/>
      <c r="M514" s="349"/>
      <c r="N514" s="349"/>
      <c r="O514" s="349"/>
      <c r="P514" s="349"/>
      <c r="Q514" s="349"/>
      <c r="R514" s="349"/>
      <c r="S514" s="349"/>
      <c r="T514" s="349"/>
      <c r="U514" s="349"/>
      <c r="V514" s="349"/>
      <c r="W514" s="349"/>
      <c r="X514" s="349"/>
      <c r="Y514" s="349"/>
      <c r="Z514" s="349"/>
      <c r="AA514" s="349"/>
      <c r="AB514" s="349"/>
      <c r="AC514" s="349"/>
      <c r="AD514" s="349"/>
      <c r="AE514" s="349"/>
      <c r="AF514" s="349"/>
      <c r="AG514" s="349"/>
      <c r="AH514" s="349"/>
      <c r="AI514" s="349"/>
      <c r="AJ514" s="349"/>
      <c r="AK514" s="349"/>
      <c r="AL514" s="349"/>
      <c r="AM514" s="349"/>
      <c r="AN514" s="349"/>
      <c r="AO514" s="349"/>
      <c r="AP514" s="349"/>
      <c r="AQ514" s="349"/>
      <c r="AR514" s="349"/>
      <c r="AS514" s="349"/>
      <c r="AT514" s="349"/>
      <c r="AU514" s="349"/>
      <c r="AV514" s="349"/>
      <c r="AW514" s="349"/>
      <c r="AX514" s="349"/>
      <c r="AY514" s="349"/>
      <c r="AZ514" s="349"/>
      <c r="BA514" s="349"/>
      <c r="BB514" s="349"/>
      <c r="BC514" s="349"/>
      <c r="BD514" s="349"/>
      <c r="BE514" s="349"/>
      <c r="BF514" s="349"/>
      <c r="BG514" s="349"/>
      <c r="BH514" s="349"/>
      <c r="BI514" s="349"/>
      <c r="BJ514" s="349"/>
      <c r="BK514" s="349"/>
      <c r="BL514" s="349"/>
      <c r="BM514" s="349"/>
      <c r="BN514" s="349"/>
      <c r="BO514" s="349"/>
      <c r="BP514" s="349"/>
      <c r="BQ514" s="349"/>
      <c r="BR514" s="349"/>
      <c r="BS514" s="349"/>
    </row>
    <row r="515" spans="1:71" x14ac:dyDescent="0.3">
      <c r="A515" s="349"/>
      <c r="B515" s="349"/>
      <c r="C515" s="349"/>
      <c r="D515" s="349"/>
      <c r="E515" s="349"/>
      <c r="F515" s="349"/>
      <c r="G515" s="349"/>
      <c r="H515" s="349"/>
      <c r="I515" s="349"/>
      <c r="J515" s="349"/>
      <c r="K515" s="349"/>
      <c r="L515" s="349"/>
      <c r="M515" s="349"/>
      <c r="N515" s="349"/>
      <c r="O515" s="349"/>
      <c r="P515" s="349"/>
      <c r="Q515" s="349"/>
      <c r="R515" s="349"/>
      <c r="S515" s="349"/>
      <c r="T515" s="349"/>
      <c r="U515" s="349"/>
      <c r="V515" s="349"/>
      <c r="W515" s="349"/>
      <c r="X515" s="349"/>
      <c r="Y515" s="349"/>
      <c r="Z515" s="349"/>
      <c r="AA515" s="349"/>
      <c r="AB515" s="349"/>
      <c r="AC515" s="349"/>
      <c r="AD515" s="349"/>
      <c r="AE515" s="349"/>
      <c r="AF515" s="349"/>
      <c r="AG515" s="349"/>
      <c r="AH515" s="349"/>
      <c r="AI515" s="349"/>
      <c r="AJ515" s="349"/>
      <c r="AK515" s="349"/>
      <c r="AL515" s="349"/>
      <c r="AM515" s="349"/>
      <c r="AN515" s="349"/>
      <c r="AO515" s="349"/>
      <c r="AP515" s="349"/>
      <c r="AQ515" s="349"/>
      <c r="AR515" s="349"/>
      <c r="AS515" s="349"/>
      <c r="AT515" s="349"/>
      <c r="AU515" s="349"/>
      <c r="AV515" s="349"/>
      <c r="AW515" s="349"/>
      <c r="AX515" s="349"/>
      <c r="AY515" s="349"/>
      <c r="AZ515" s="349"/>
      <c r="BA515" s="349"/>
      <c r="BB515" s="349"/>
      <c r="BC515" s="349"/>
      <c r="BD515" s="349"/>
      <c r="BE515" s="349"/>
      <c r="BF515" s="349"/>
      <c r="BG515" s="349"/>
      <c r="BH515" s="349"/>
      <c r="BI515" s="349"/>
      <c r="BJ515" s="349"/>
      <c r="BK515" s="349"/>
      <c r="BL515" s="349"/>
      <c r="BM515" s="349"/>
      <c r="BN515" s="349"/>
      <c r="BO515" s="349"/>
      <c r="BP515" s="349"/>
      <c r="BQ515" s="349"/>
      <c r="BR515" s="349"/>
      <c r="BS515" s="349"/>
    </row>
    <row r="516" spans="1:71" x14ac:dyDescent="0.3">
      <c r="A516" s="349"/>
      <c r="B516" s="349"/>
      <c r="C516" s="349"/>
      <c r="D516" s="349"/>
      <c r="E516" s="349"/>
      <c r="F516" s="349"/>
      <c r="G516" s="349"/>
      <c r="H516" s="349"/>
      <c r="I516" s="349"/>
      <c r="J516" s="349"/>
      <c r="K516" s="349"/>
      <c r="L516" s="349"/>
      <c r="M516" s="349"/>
      <c r="N516" s="349"/>
      <c r="O516" s="349"/>
      <c r="P516" s="349"/>
      <c r="Q516" s="349"/>
      <c r="R516" s="349"/>
      <c r="S516" s="349"/>
      <c r="T516" s="349"/>
      <c r="U516" s="349"/>
      <c r="V516" s="349"/>
      <c r="W516" s="349"/>
      <c r="X516" s="349"/>
      <c r="Y516" s="349"/>
      <c r="Z516" s="349"/>
      <c r="AA516" s="349"/>
      <c r="AB516" s="349"/>
      <c r="AC516" s="349"/>
      <c r="AD516" s="349"/>
      <c r="AE516" s="349"/>
      <c r="AF516" s="349"/>
      <c r="AG516" s="349"/>
      <c r="AH516" s="349"/>
      <c r="AI516" s="349"/>
      <c r="AJ516" s="349"/>
      <c r="AK516" s="349"/>
      <c r="AL516" s="349"/>
      <c r="AM516" s="349"/>
      <c r="AN516" s="349"/>
      <c r="AO516" s="349"/>
      <c r="AP516" s="349"/>
      <c r="AQ516" s="349"/>
      <c r="AR516" s="349"/>
      <c r="AS516" s="349"/>
      <c r="AT516" s="349"/>
      <c r="AU516" s="349"/>
      <c r="AV516" s="349"/>
      <c r="AW516" s="349"/>
      <c r="AX516" s="349"/>
      <c r="AY516" s="349"/>
      <c r="AZ516" s="349"/>
      <c r="BA516" s="349"/>
      <c r="BB516" s="349"/>
      <c r="BC516" s="349"/>
      <c r="BD516" s="349"/>
      <c r="BE516" s="349"/>
      <c r="BF516" s="349"/>
      <c r="BG516" s="349"/>
      <c r="BH516" s="349"/>
      <c r="BI516" s="349"/>
      <c r="BJ516" s="349"/>
      <c r="BK516" s="349"/>
      <c r="BL516" s="349"/>
      <c r="BM516" s="349"/>
      <c r="BN516" s="349"/>
      <c r="BO516" s="349"/>
      <c r="BP516" s="349"/>
      <c r="BQ516" s="349"/>
      <c r="BR516" s="349"/>
      <c r="BS516" s="349"/>
    </row>
    <row r="517" spans="1:71" x14ac:dyDescent="0.3">
      <c r="A517" s="349"/>
      <c r="B517" s="349"/>
      <c r="C517" s="349"/>
      <c r="D517" s="349"/>
      <c r="E517" s="349"/>
      <c r="F517" s="349"/>
      <c r="G517" s="349"/>
      <c r="H517" s="349"/>
      <c r="I517" s="349"/>
      <c r="J517" s="349"/>
      <c r="K517" s="349"/>
      <c r="L517" s="349"/>
      <c r="M517" s="349"/>
      <c r="N517" s="349"/>
      <c r="O517" s="349"/>
      <c r="P517" s="349"/>
      <c r="Q517" s="349"/>
      <c r="R517" s="349"/>
      <c r="S517" s="349"/>
      <c r="T517" s="349"/>
      <c r="U517" s="349"/>
      <c r="V517" s="349"/>
      <c r="W517" s="349"/>
      <c r="X517" s="349"/>
      <c r="Y517" s="349"/>
      <c r="Z517" s="349"/>
      <c r="AA517" s="349"/>
      <c r="AB517" s="349"/>
      <c r="AC517" s="349"/>
      <c r="AD517" s="349"/>
      <c r="AE517" s="349"/>
      <c r="AF517" s="349"/>
      <c r="AG517" s="349"/>
      <c r="AH517" s="349"/>
      <c r="AI517" s="349"/>
      <c r="AJ517" s="349"/>
      <c r="AK517" s="349"/>
      <c r="AL517" s="349"/>
      <c r="AM517" s="349"/>
      <c r="AN517" s="349"/>
      <c r="AO517" s="349"/>
      <c r="AP517" s="349"/>
      <c r="AQ517" s="349"/>
      <c r="AR517" s="349"/>
      <c r="AS517" s="349"/>
      <c r="AT517" s="349"/>
      <c r="AU517" s="349"/>
      <c r="AV517" s="349"/>
      <c r="AW517" s="349"/>
      <c r="AX517" s="349"/>
      <c r="AY517" s="349"/>
      <c r="AZ517" s="349"/>
      <c r="BA517" s="349"/>
      <c r="BB517" s="349"/>
      <c r="BC517" s="349"/>
      <c r="BD517" s="349"/>
      <c r="BE517" s="349"/>
      <c r="BF517" s="349"/>
      <c r="BG517" s="349"/>
      <c r="BH517" s="349"/>
      <c r="BI517" s="349"/>
      <c r="BJ517" s="349"/>
      <c r="BK517" s="349"/>
      <c r="BL517" s="349"/>
      <c r="BM517" s="349"/>
      <c r="BN517" s="349"/>
      <c r="BO517" s="349"/>
      <c r="BP517" s="349"/>
      <c r="BQ517" s="349"/>
      <c r="BR517" s="349"/>
      <c r="BS517" s="349"/>
    </row>
    <row r="518" spans="1:71" x14ac:dyDescent="0.3">
      <c r="A518" s="349"/>
      <c r="B518" s="349"/>
      <c r="C518" s="349"/>
      <c r="D518" s="349"/>
      <c r="E518" s="349"/>
      <c r="F518" s="349"/>
      <c r="G518" s="349"/>
      <c r="H518" s="349"/>
      <c r="I518" s="349"/>
      <c r="J518" s="349"/>
      <c r="K518" s="349"/>
      <c r="L518" s="349"/>
      <c r="M518" s="349"/>
      <c r="N518" s="349"/>
      <c r="O518" s="349"/>
      <c r="P518" s="349"/>
      <c r="Q518" s="349"/>
      <c r="R518" s="349"/>
      <c r="S518" s="349"/>
      <c r="T518" s="349"/>
      <c r="U518" s="349"/>
      <c r="V518" s="349"/>
      <c r="W518" s="349"/>
      <c r="X518" s="349"/>
      <c r="Y518" s="349"/>
      <c r="Z518" s="349"/>
      <c r="AA518" s="349"/>
      <c r="AB518" s="349"/>
      <c r="AC518" s="349"/>
      <c r="AD518" s="349"/>
      <c r="AE518" s="349"/>
      <c r="AF518" s="349"/>
      <c r="AG518" s="349"/>
      <c r="AH518" s="349"/>
      <c r="AI518" s="349"/>
      <c r="AJ518" s="349"/>
      <c r="AK518" s="349"/>
      <c r="AL518" s="349"/>
      <c r="AM518" s="349"/>
      <c r="AN518" s="349"/>
      <c r="AO518" s="349"/>
      <c r="AP518" s="349"/>
      <c r="AQ518" s="349"/>
      <c r="AR518" s="349"/>
      <c r="AS518" s="349"/>
      <c r="AT518" s="349"/>
      <c r="AU518" s="349"/>
      <c r="AV518" s="349"/>
      <c r="AW518" s="349"/>
      <c r="AX518" s="349"/>
      <c r="AY518" s="349"/>
      <c r="AZ518" s="349"/>
      <c r="BA518" s="349"/>
      <c r="BB518" s="349"/>
      <c r="BC518" s="349"/>
      <c r="BD518" s="349"/>
      <c r="BE518" s="349"/>
      <c r="BF518" s="349"/>
      <c r="BG518" s="349"/>
      <c r="BH518" s="349"/>
      <c r="BI518" s="349"/>
      <c r="BJ518" s="349"/>
      <c r="BK518" s="349"/>
      <c r="BL518" s="349"/>
      <c r="BM518" s="349"/>
      <c r="BN518" s="349"/>
      <c r="BO518" s="349"/>
      <c r="BP518" s="349"/>
      <c r="BQ518" s="349"/>
      <c r="BR518" s="349"/>
      <c r="BS518" s="349"/>
    </row>
    <row r="519" spans="1:71" x14ac:dyDescent="0.3">
      <c r="A519" s="349"/>
      <c r="B519" s="349"/>
      <c r="C519" s="349"/>
      <c r="D519" s="349"/>
      <c r="E519" s="349"/>
      <c r="F519" s="349"/>
      <c r="G519" s="349"/>
      <c r="H519" s="349"/>
      <c r="I519" s="349"/>
      <c r="J519" s="349"/>
      <c r="K519" s="349"/>
      <c r="L519" s="349"/>
      <c r="M519" s="349"/>
      <c r="N519" s="349"/>
      <c r="O519" s="349"/>
      <c r="P519" s="349"/>
      <c r="Q519" s="349"/>
      <c r="R519" s="349"/>
      <c r="S519" s="349"/>
      <c r="T519" s="349"/>
      <c r="U519" s="349"/>
      <c r="V519" s="349"/>
      <c r="W519" s="349"/>
      <c r="X519" s="349"/>
      <c r="Y519" s="349"/>
      <c r="Z519" s="349"/>
      <c r="AA519" s="349"/>
      <c r="AB519" s="349"/>
      <c r="AC519" s="349"/>
      <c r="AD519" s="349"/>
      <c r="AE519" s="349"/>
      <c r="AF519" s="349"/>
      <c r="AG519" s="349"/>
      <c r="AH519" s="349"/>
      <c r="AI519" s="349"/>
      <c r="AJ519" s="349"/>
      <c r="AK519" s="349"/>
      <c r="AL519" s="349"/>
      <c r="AM519" s="349"/>
      <c r="AN519" s="349"/>
      <c r="AO519" s="349"/>
      <c r="AP519" s="349"/>
      <c r="AQ519" s="349"/>
      <c r="AR519" s="349"/>
      <c r="AS519" s="349"/>
      <c r="AT519" s="349"/>
      <c r="AU519" s="349"/>
      <c r="AV519" s="349"/>
      <c r="AW519" s="349"/>
      <c r="AX519" s="349"/>
      <c r="AY519" s="349"/>
      <c r="AZ519" s="349"/>
      <c r="BA519" s="349"/>
      <c r="BB519" s="349"/>
      <c r="BC519" s="349"/>
      <c r="BD519" s="349"/>
      <c r="BE519" s="349"/>
      <c r="BF519" s="349"/>
      <c r="BG519" s="349"/>
      <c r="BH519" s="349"/>
      <c r="BI519" s="349"/>
      <c r="BJ519" s="349"/>
      <c r="BK519" s="349"/>
      <c r="BL519" s="349"/>
      <c r="BM519" s="349"/>
      <c r="BN519" s="349"/>
      <c r="BO519" s="349"/>
      <c r="BP519" s="349"/>
      <c r="BQ519" s="349"/>
      <c r="BR519" s="349"/>
      <c r="BS519" s="349"/>
    </row>
    <row r="520" spans="1:71" x14ac:dyDescent="0.3">
      <c r="A520" s="349"/>
      <c r="B520" s="349"/>
      <c r="C520" s="349"/>
      <c r="D520" s="349"/>
      <c r="E520" s="349"/>
      <c r="F520" s="349"/>
      <c r="G520" s="349"/>
      <c r="H520" s="349"/>
      <c r="I520" s="349"/>
      <c r="J520" s="349"/>
      <c r="K520" s="349"/>
      <c r="L520" s="349"/>
      <c r="M520" s="349"/>
      <c r="N520" s="349"/>
      <c r="O520" s="349"/>
      <c r="P520" s="349"/>
      <c r="Q520" s="349"/>
      <c r="R520" s="349"/>
      <c r="S520" s="349"/>
      <c r="T520" s="349"/>
      <c r="U520" s="349"/>
      <c r="V520" s="349"/>
      <c r="W520" s="349"/>
      <c r="X520" s="349"/>
      <c r="Y520" s="349"/>
      <c r="Z520" s="349"/>
      <c r="AA520" s="349"/>
      <c r="AB520" s="349"/>
      <c r="AC520" s="349"/>
      <c r="AD520" s="349"/>
      <c r="AE520" s="349"/>
      <c r="AF520" s="349"/>
      <c r="AG520" s="349"/>
      <c r="AH520" s="349"/>
      <c r="AI520" s="349"/>
      <c r="AJ520" s="349"/>
      <c r="AK520" s="349"/>
      <c r="AL520" s="349"/>
      <c r="AM520" s="349"/>
      <c r="AN520" s="349"/>
      <c r="AO520" s="349"/>
      <c r="AP520" s="349"/>
      <c r="AQ520" s="349"/>
      <c r="AR520" s="349"/>
      <c r="AS520" s="349"/>
      <c r="AT520" s="349"/>
      <c r="AU520" s="349"/>
      <c r="AV520" s="349"/>
      <c r="AW520" s="349"/>
      <c r="AX520" s="349"/>
      <c r="AY520" s="349"/>
      <c r="AZ520" s="349"/>
      <c r="BA520" s="349"/>
      <c r="BB520" s="349"/>
      <c r="BC520" s="349"/>
      <c r="BD520" s="349"/>
      <c r="BE520" s="349"/>
      <c r="BF520" s="349"/>
      <c r="BG520" s="349"/>
      <c r="BH520" s="349"/>
      <c r="BI520" s="349"/>
      <c r="BJ520" s="349"/>
      <c r="BK520" s="349"/>
      <c r="BL520" s="349"/>
      <c r="BM520" s="349"/>
      <c r="BN520" s="349"/>
      <c r="BO520" s="349"/>
      <c r="BP520" s="349"/>
      <c r="BQ520" s="349"/>
      <c r="BR520" s="349"/>
      <c r="BS520" s="349"/>
    </row>
    <row r="521" spans="1:71" x14ac:dyDescent="0.3">
      <c r="A521" s="349"/>
      <c r="B521" s="349"/>
      <c r="C521" s="349"/>
      <c r="D521" s="349"/>
      <c r="E521" s="349"/>
      <c r="F521" s="349"/>
      <c r="G521" s="349"/>
      <c r="H521" s="349"/>
      <c r="I521" s="349"/>
      <c r="J521" s="349"/>
      <c r="K521" s="349"/>
      <c r="L521" s="349"/>
      <c r="M521" s="349"/>
      <c r="N521" s="349"/>
      <c r="O521" s="349"/>
      <c r="P521" s="349"/>
      <c r="Q521" s="349"/>
      <c r="R521" s="349"/>
      <c r="S521" s="349"/>
      <c r="T521" s="349"/>
      <c r="U521" s="349"/>
      <c r="V521" s="349"/>
      <c r="W521" s="349"/>
      <c r="X521" s="349"/>
      <c r="Y521" s="349"/>
      <c r="Z521" s="349"/>
      <c r="AA521" s="349"/>
      <c r="AB521" s="349"/>
      <c r="AC521" s="349"/>
      <c r="AD521" s="349"/>
      <c r="AE521" s="349"/>
      <c r="AF521" s="349"/>
      <c r="AG521" s="349"/>
      <c r="AH521" s="349"/>
      <c r="AI521" s="349"/>
      <c r="AJ521" s="349"/>
      <c r="AK521" s="349"/>
      <c r="AL521" s="349"/>
      <c r="AM521" s="349"/>
      <c r="AN521" s="349"/>
      <c r="AO521" s="349"/>
      <c r="AP521" s="349"/>
      <c r="AQ521" s="349"/>
      <c r="AR521" s="349"/>
      <c r="AS521" s="349"/>
      <c r="AT521" s="349"/>
      <c r="AU521" s="349"/>
      <c r="AV521" s="349"/>
      <c r="AW521" s="349"/>
      <c r="AX521" s="349"/>
      <c r="AY521" s="349"/>
      <c r="AZ521" s="349"/>
      <c r="BA521" s="349"/>
      <c r="BB521" s="349"/>
      <c r="BC521" s="349"/>
      <c r="BD521" s="349"/>
      <c r="BE521" s="349"/>
      <c r="BF521" s="349"/>
      <c r="BG521" s="349"/>
      <c r="BH521" s="349"/>
      <c r="BI521" s="349"/>
      <c r="BJ521" s="349"/>
      <c r="BK521" s="349"/>
      <c r="BL521" s="349"/>
      <c r="BM521" s="349"/>
      <c r="BN521" s="349"/>
      <c r="BO521" s="349"/>
      <c r="BP521" s="349"/>
      <c r="BQ521" s="349"/>
      <c r="BR521" s="349"/>
      <c r="BS521" s="349"/>
    </row>
    <row r="522" spans="1:71" x14ac:dyDescent="0.3">
      <c r="A522" s="349"/>
      <c r="B522" s="349"/>
      <c r="C522" s="349"/>
      <c r="D522" s="349"/>
      <c r="E522" s="349"/>
      <c r="F522" s="349"/>
      <c r="G522" s="349"/>
      <c r="H522" s="349"/>
      <c r="I522" s="349"/>
      <c r="J522" s="349"/>
      <c r="K522" s="349"/>
      <c r="L522" s="349"/>
      <c r="M522" s="349"/>
      <c r="N522" s="349"/>
      <c r="O522" s="349"/>
      <c r="P522" s="349"/>
      <c r="Q522" s="349"/>
      <c r="R522" s="349"/>
      <c r="S522" s="349"/>
      <c r="T522" s="349"/>
      <c r="U522" s="349"/>
      <c r="V522" s="349"/>
      <c r="W522" s="349"/>
      <c r="X522" s="349"/>
      <c r="Y522" s="349"/>
      <c r="Z522" s="349"/>
      <c r="AA522" s="349"/>
      <c r="AB522" s="349"/>
      <c r="AC522" s="349"/>
      <c r="AD522" s="349"/>
      <c r="AE522" s="349"/>
      <c r="AF522" s="349"/>
      <c r="AG522" s="349"/>
      <c r="AH522" s="349"/>
      <c r="AI522" s="349"/>
      <c r="AJ522" s="349"/>
      <c r="AK522" s="349"/>
      <c r="AL522" s="349"/>
      <c r="AM522" s="349"/>
      <c r="AN522" s="349"/>
      <c r="AO522" s="349"/>
      <c r="AP522" s="349"/>
      <c r="AQ522" s="349"/>
      <c r="AR522" s="349"/>
      <c r="AS522" s="349"/>
      <c r="AT522" s="349"/>
      <c r="AU522" s="349"/>
      <c r="AV522" s="349"/>
      <c r="AW522" s="349"/>
      <c r="AX522" s="349"/>
      <c r="AY522" s="349"/>
      <c r="AZ522" s="349"/>
      <c r="BA522" s="349"/>
      <c r="BB522" s="349"/>
      <c r="BC522" s="349"/>
      <c r="BD522" s="349"/>
      <c r="BE522" s="349"/>
      <c r="BF522" s="349"/>
      <c r="BG522" s="349"/>
      <c r="BH522" s="349"/>
      <c r="BI522" s="349"/>
      <c r="BJ522" s="349"/>
      <c r="BK522" s="349"/>
      <c r="BL522" s="349"/>
      <c r="BM522" s="349"/>
      <c r="BN522" s="349"/>
      <c r="BO522" s="349"/>
      <c r="BP522" s="349"/>
      <c r="BQ522" s="349"/>
      <c r="BR522" s="349"/>
      <c r="BS522" s="349"/>
    </row>
    <row r="523" spans="1:71" x14ac:dyDescent="0.3">
      <c r="A523" s="349"/>
      <c r="B523" s="349"/>
      <c r="C523" s="349"/>
      <c r="D523" s="349"/>
      <c r="E523" s="349"/>
      <c r="F523" s="349"/>
      <c r="G523" s="349"/>
      <c r="H523" s="349"/>
      <c r="I523" s="349"/>
      <c r="J523" s="349"/>
      <c r="K523" s="349"/>
      <c r="L523" s="349"/>
      <c r="M523" s="349"/>
      <c r="N523" s="349"/>
      <c r="O523" s="349"/>
      <c r="P523" s="349"/>
      <c r="Q523" s="349"/>
      <c r="R523" s="349"/>
      <c r="S523" s="349"/>
      <c r="T523" s="349"/>
      <c r="U523" s="349"/>
      <c r="V523" s="349"/>
      <c r="W523" s="349"/>
      <c r="X523" s="349"/>
      <c r="Y523" s="349"/>
      <c r="Z523" s="349"/>
      <c r="AA523" s="349"/>
      <c r="AB523" s="349"/>
      <c r="AC523" s="349"/>
      <c r="AD523" s="349"/>
      <c r="AE523" s="349"/>
      <c r="AF523" s="349"/>
      <c r="AG523" s="349"/>
      <c r="AH523" s="349"/>
      <c r="AI523" s="349"/>
      <c r="AJ523" s="349"/>
      <c r="AK523" s="349"/>
      <c r="AL523" s="349"/>
      <c r="AM523" s="349"/>
      <c r="AN523" s="349"/>
      <c r="AO523" s="349"/>
      <c r="AP523" s="349"/>
      <c r="AQ523" s="349"/>
      <c r="AR523" s="349"/>
      <c r="AS523" s="349"/>
      <c r="AT523" s="349"/>
      <c r="AU523" s="349"/>
      <c r="AV523" s="349"/>
      <c r="AW523" s="349"/>
      <c r="AX523" s="349"/>
      <c r="AY523" s="349"/>
      <c r="AZ523" s="349"/>
      <c r="BA523" s="349"/>
      <c r="BB523" s="349"/>
      <c r="BC523" s="349"/>
      <c r="BD523" s="349"/>
      <c r="BE523" s="349"/>
      <c r="BF523" s="349"/>
      <c r="BG523" s="349"/>
      <c r="BH523" s="349"/>
      <c r="BI523" s="349"/>
      <c r="BJ523" s="349"/>
      <c r="BK523" s="349"/>
      <c r="BL523" s="349"/>
      <c r="BM523" s="349"/>
      <c r="BN523" s="349"/>
      <c r="BO523" s="349"/>
      <c r="BP523" s="349"/>
      <c r="BQ523" s="349"/>
      <c r="BR523" s="349"/>
      <c r="BS523" s="349"/>
    </row>
    <row r="524" spans="1:71" x14ac:dyDescent="0.3">
      <c r="A524" s="349"/>
      <c r="B524" s="349"/>
      <c r="C524" s="349"/>
      <c r="D524" s="349"/>
      <c r="E524" s="349"/>
      <c r="F524" s="349"/>
      <c r="G524" s="349"/>
      <c r="H524" s="349"/>
      <c r="I524" s="349"/>
      <c r="J524" s="349"/>
      <c r="K524" s="349"/>
      <c r="L524" s="349"/>
      <c r="M524" s="349"/>
      <c r="N524" s="349"/>
      <c r="O524" s="349"/>
      <c r="P524" s="349"/>
      <c r="Q524" s="349"/>
      <c r="R524" s="349"/>
      <c r="S524" s="349"/>
      <c r="T524" s="349"/>
      <c r="U524" s="349"/>
      <c r="V524" s="349"/>
      <c r="W524" s="349"/>
      <c r="X524" s="349"/>
      <c r="Y524" s="349"/>
      <c r="Z524" s="349"/>
      <c r="AA524" s="349"/>
      <c r="AB524" s="349"/>
      <c r="AC524" s="349"/>
      <c r="AD524" s="349"/>
      <c r="AE524" s="349"/>
      <c r="AF524" s="349"/>
      <c r="AG524" s="349"/>
      <c r="AH524" s="349"/>
      <c r="AI524" s="349"/>
      <c r="AJ524" s="349"/>
      <c r="AK524" s="349"/>
      <c r="AL524" s="349"/>
      <c r="AM524" s="349"/>
      <c r="AN524" s="349"/>
      <c r="AO524" s="349"/>
      <c r="AP524" s="349"/>
      <c r="AQ524" s="349"/>
      <c r="AR524" s="349"/>
      <c r="AS524" s="349"/>
      <c r="AT524" s="349"/>
      <c r="AU524" s="349"/>
      <c r="AV524" s="349"/>
      <c r="AW524" s="349"/>
      <c r="AX524" s="349"/>
      <c r="AY524" s="349"/>
      <c r="AZ524" s="349"/>
      <c r="BA524" s="349"/>
      <c r="BB524" s="349"/>
      <c r="BC524" s="349"/>
      <c r="BD524" s="349"/>
      <c r="BE524" s="349"/>
      <c r="BF524" s="349"/>
      <c r="BG524" s="349"/>
      <c r="BH524" s="349"/>
      <c r="BI524" s="349"/>
      <c r="BJ524" s="349"/>
      <c r="BK524" s="349"/>
      <c r="BL524" s="349"/>
      <c r="BM524" s="349"/>
      <c r="BN524" s="349"/>
      <c r="BO524" s="349"/>
      <c r="BP524" s="349"/>
      <c r="BQ524" s="349"/>
      <c r="BR524" s="349"/>
      <c r="BS524" s="349"/>
    </row>
    <row r="525" spans="1:71" x14ac:dyDescent="0.3">
      <c r="A525" s="349"/>
      <c r="B525" s="349"/>
      <c r="C525" s="349"/>
      <c r="D525" s="349"/>
      <c r="E525" s="349"/>
      <c r="F525" s="349"/>
      <c r="G525" s="349"/>
      <c r="H525" s="349"/>
      <c r="I525" s="349"/>
      <c r="J525" s="349"/>
      <c r="K525" s="349"/>
      <c r="L525" s="349"/>
      <c r="M525" s="349"/>
      <c r="N525" s="349"/>
      <c r="O525" s="349"/>
      <c r="P525" s="349"/>
      <c r="Q525" s="349"/>
      <c r="R525" s="349"/>
      <c r="S525" s="349"/>
      <c r="T525" s="349"/>
      <c r="U525" s="349"/>
      <c r="V525" s="349"/>
      <c r="W525" s="349"/>
      <c r="X525" s="349"/>
      <c r="Y525" s="349"/>
      <c r="Z525" s="349"/>
      <c r="AA525" s="349"/>
      <c r="AB525" s="349"/>
      <c r="AC525" s="349"/>
      <c r="AD525" s="349"/>
      <c r="AE525" s="349"/>
      <c r="AF525" s="349"/>
      <c r="AG525" s="349"/>
      <c r="AH525" s="349"/>
      <c r="AI525" s="349"/>
      <c r="AJ525" s="349"/>
      <c r="AK525" s="349"/>
      <c r="AL525" s="349"/>
      <c r="AM525" s="349"/>
      <c r="AN525" s="349"/>
      <c r="AO525" s="349"/>
      <c r="AP525" s="349"/>
      <c r="AQ525" s="349"/>
      <c r="AR525" s="349"/>
      <c r="AS525" s="349"/>
      <c r="AT525" s="349"/>
      <c r="AU525" s="349"/>
      <c r="AV525" s="349"/>
      <c r="AW525" s="349"/>
      <c r="AX525" s="349"/>
      <c r="AY525" s="349"/>
      <c r="AZ525" s="349"/>
      <c r="BA525" s="349"/>
      <c r="BB525" s="349"/>
      <c r="BC525" s="349"/>
      <c r="BD525" s="349"/>
      <c r="BE525" s="349"/>
      <c r="BF525" s="349"/>
      <c r="BG525" s="349"/>
      <c r="BH525" s="349"/>
      <c r="BI525" s="349"/>
      <c r="BJ525" s="349"/>
      <c r="BK525" s="349"/>
      <c r="BL525" s="349"/>
      <c r="BM525" s="349"/>
      <c r="BN525" s="349"/>
      <c r="BO525" s="349"/>
      <c r="BP525" s="349"/>
      <c r="BQ525" s="349"/>
      <c r="BR525" s="349"/>
      <c r="BS525" s="349"/>
    </row>
    <row r="526" spans="1:71" x14ac:dyDescent="0.3">
      <c r="A526" s="349"/>
      <c r="B526" s="349"/>
      <c r="C526" s="349"/>
      <c r="D526" s="349"/>
      <c r="E526" s="349"/>
      <c r="F526" s="349"/>
      <c r="G526" s="349"/>
      <c r="H526" s="349"/>
      <c r="I526" s="349"/>
      <c r="J526" s="349"/>
      <c r="K526" s="349"/>
      <c r="L526" s="349"/>
      <c r="M526" s="349"/>
      <c r="N526" s="349"/>
      <c r="O526" s="349"/>
      <c r="P526" s="349"/>
      <c r="Q526" s="349"/>
      <c r="R526" s="349"/>
      <c r="S526" s="349"/>
      <c r="T526" s="349"/>
      <c r="U526" s="349"/>
      <c r="V526" s="349"/>
      <c r="W526" s="349"/>
      <c r="X526" s="349"/>
      <c r="Y526" s="349"/>
      <c r="Z526" s="349"/>
      <c r="AA526" s="349"/>
      <c r="AB526" s="349"/>
      <c r="AC526" s="349"/>
      <c r="AD526" s="349"/>
      <c r="AE526" s="349"/>
      <c r="AF526" s="349"/>
      <c r="AG526" s="349"/>
      <c r="AH526" s="349"/>
      <c r="AI526" s="349"/>
      <c r="AJ526" s="349"/>
      <c r="AK526" s="349"/>
      <c r="AL526" s="349"/>
      <c r="AM526" s="349"/>
      <c r="AN526" s="349"/>
      <c r="AO526" s="349"/>
      <c r="AP526" s="349"/>
      <c r="AQ526" s="349"/>
      <c r="AR526" s="349"/>
      <c r="AS526" s="349"/>
      <c r="AT526" s="349"/>
      <c r="AU526" s="349"/>
      <c r="AV526" s="349"/>
      <c r="AW526" s="349"/>
      <c r="AX526" s="349"/>
      <c r="AY526" s="349"/>
      <c r="AZ526" s="349"/>
      <c r="BA526" s="349"/>
      <c r="BB526" s="349"/>
      <c r="BC526" s="349"/>
      <c r="BD526" s="349"/>
      <c r="BE526" s="349"/>
      <c r="BF526" s="349"/>
      <c r="BG526" s="349"/>
      <c r="BH526" s="349"/>
      <c r="BI526" s="349"/>
      <c r="BJ526" s="349"/>
      <c r="BK526" s="349"/>
      <c r="BL526" s="349"/>
      <c r="BM526" s="349"/>
      <c r="BN526" s="349"/>
      <c r="BO526" s="349"/>
      <c r="BP526" s="349"/>
      <c r="BQ526" s="349"/>
      <c r="BR526" s="349"/>
      <c r="BS526" s="349"/>
    </row>
    <row r="527" spans="1:71" x14ac:dyDescent="0.3">
      <c r="A527" s="349"/>
      <c r="B527" s="349"/>
      <c r="C527" s="349"/>
      <c r="D527" s="349"/>
      <c r="E527" s="349"/>
      <c r="F527" s="349"/>
      <c r="G527" s="349"/>
      <c r="H527" s="349"/>
      <c r="I527" s="349"/>
      <c r="J527" s="349"/>
      <c r="K527" s="349"/>
      <c r="L527" s="349"/>
      <c r="M527" s="349"/>
      <c r="N527" s="349"/>
      <c r="O527" s="349"/>
      <c r="P527" s="349"/>
      <c r="Q527" s="349"/>
      <c r="R527" s="349"/>
      <c r="S527" s="349"/>
      <c r="T527" s="349"/>
      <c r="U527" s="349"/>
      <c r="V527" s="349"/>
      <c r="W527" s="349"/>
      <c r="X527" s="349"/>
      <c r="Y527" s="349"/>
      <c r="Z527" s="349"/>
      <c r="AA527" s="349"/>
      <c r="AB527" s="349"/>
      <c r="AC527" s="349"/>
      <c r="AD527" s="349"/>
      <c r="AE527" s="349"/>
      <c r="AF527" s="349"/>
      <c r="AG527" s="349"/>
      <c r="AH527" s="349"/>
      <c r="AI527" s="349"/>
      <c r="AJ527" s="349"/>
      <c r="AK527" s="349"/>
      <c r="AL527" s="349"/>
      <c r="AM527" s="349"/>
      <c r="AN527" s="349"/>
      <c r="AO527" s="349"/>
      <c r="AP527" s="349"/>
      <c r="AQ527" s="349"/>
      <c r="AR527" s="349"/>
      <c r="AS527" s="349"/>
      <c r="AT527" s="349"/>
      <c r="AU527" s="349"/>
      <c r="AV527" s="349"/>
      <c r="AW527" s="349"/>
      <c r="AX527" s="349"/>
      <c r="AY527" s="349"/>
      <c r="AZ527" s="349"/>
      <c r="BA527" s="349"/>
      <c r="BB527" s="349"/>
      <c r="BC527" s="349"/>
      <c r="BD527" s="349"/>
      <c r="BE527" s="349"/>
      <c r="BF527" s="349"/>
      <c r="BG527" s="349"/>
      <c r="BH527" s="349"/>
      <c r="BI527" s="349"/>
      <c r="BJ527" s="349"/>
      <c r="BK527" s="349"/>
      <c r="BL527" s="349"/>
      <c r="BM527" s="349"/>
      <c r="BN527" s="349"/>
      <c r="BO527" s="349"/>
      <c r="BP527" s="349"/>
      <c r="BQ527" s="349"/>
      <c r="BR527" s="349"/>
      <c r="BS527" s="349"/>
    </row>
    <row r="528" spans="1:71" x14ac:dyDescent="0.3">
      <c r="A528" s="349"/>
      <c r="B528" s="349"/>
      <c r="C528" s="349"/>
      <c r="D528" s="349"/>
      <c r="E528" s="349"/>
      <c r="F528" s="349"/>
      <c r="G528" s="349"/>
      <c r="H528" s="349"/>
      <c r="I528" s="349"/>
      <c r="J528" s="349"/>
      <c r="K528" s="349"/>
      <c r="L528" s="349"/>
      <c r="M528" s="349"/>
      <c r="N528" s="349"/>
      <c r="O528" s="349"/>
      <c r="P528" s="349"/>
      <c r="Q528" s="349"/>
      <c r="R528" s="349"/>
      <c r="S528" s="349"/>
      <c r="T528" s="349"/>
      <c r="U528" s="349"/>
      <c r="V528" s="349"/>
      <c r="W528" s="349"/>
      <c r="X528" s="349"/>
      <c r="Y528" s="349"/>
      <c r="Z528" s="349"/>
      <c r="AA528" s="349"/>
      <c r="AB528" s="349"/>
      <c r="AC528" s="349"/>
      <c r="AD528" s="349"/>
      <c r="AE528" s="349"/>
      <c r="AF528" s="349"/>
      <c r="AG528" s="349"/>
      <c r="AH528" s="349"/>
      <c r="AI528" s="349"/>
      <c r="AJ528" s="349"/>
      <c r="AK528" s="349"/>
      <c r="AL528" s="349"/>
      <c r="AM528" s="349"/>
      <c r="AN528" s="349"/>
      <c r="AO528" s="349"/>
      <c r="AP528" s="349"/>
      <c r="AQ528" s="349"/>
      <c r="AR528" s="349"/>
      <c r="AS528" s="349"/>
      <c r="AT528" s="349"/>
      <c r="AU528" s="349"/>
      <c r="AV528" s="349"/>
      <c r="AW528" s="349"/>
      <c r="AX528" s="349"/>
      <c r="AY528" s="349"/>
      <c r="AZ528" s="349"/>
      <c r="BA528" s="349"/>
      <c r="BB528" s="349"/>
      <c r="BC528" s="349"/>
      <c r="BD528" s="349"/>
      <c r="BE528" s="349"/>
      <c r="BF528" s="349"/>
      <c r="BG528" s="349"/>
      <c r="BH528" s="349"/>
      <c r="BI528" s="349"/>
      <c r="BJ528" s="349"/>
      <c r="BK528" s="349"/>
      <c r="BL528" s="349"/>
      <c r="BM528" s="349"/>
      <c r="BN528" s="349"/>
      <c r="BO528" s="349"/>
      <c r="BP528" s="349"/>
      <c r="BQ528" s="349"/>
      <c r="BR528" s="349"/>
      <c r="BS528" s="349"/>
    </row>
    <row r="529" spans="1:71" x14ac:dyDescent="0.3">
      <c r="A529" s="349"/>
      <c r="B529" s="349"/>
      <c r="C529" s="349"/>
      <c r="D529" s="349"/>
      <c r="E529" s="349"/>
      <c r="F529" s="349"/>
      <c r="G529" s="349"/>
      <c r="H529" s="349"/>
      <c r="I529" s="349"/>
      <c r="J529" s="349"/>
      <c r="K529" s="349"/>
      <c r="L529" s="349"/>
      <c r="M529" s="349"/>
      <c r="N529" s="349"/>
      <c r="O529" s="349"/>
      <c r="P529" s="349"/>
      <c r="Q529" s="349"/>
      <c r="R529" s="349"/>
      <c r="S529" s="349"/>
      <c r="T529" s="349"/>
      <c r="U529" s="349"/>
      <c r="V529" s="349"/>
      <c r="W529" s="349"/>
      <c r="X529" s="349"/>
      <c r="Y529" s="349"/>
      <c r="Z529" s="349"/>
      <c r="AA529" s="349"/>
      <c r="AB529" s="349"/>
      <c r="AC529" s="349"/>
      <c r="AD529" s="349"/>
      <c r="AE529" s="349"/>
      <c r="AF529" s="349"/>
      <c r="AG529" s="349"/>
      <c r="AH529" s="349"/>
      <c r="AI529" s="349"/>
      <c r="AJ529" s="349"/>
      <c r="AK529" s="349"/>
      <c r="AL529" s="349"/>
      <c r="AM529" s="349"/>
      <c r="AN529" s="349"/>
      <c r="AO529" s="349"/>
      <c r="AP529" s="349"/>
      <c r="AQ529" s="349"/>
      <c r="AR529" s="349"/>
      <c r="AS529" s="349"/>
      <c r="AT529" s="349"/>
      <c r="AU529" s="349"/>
      <c r="AV529" s="349"/>
      <c r="AW529" s="349"/>
      <c r="AX529" s="349"/>
      <c r="AY529" s="349"/>
      <c r="AZ529" s="349"/>
      <c r="BA529" s="349"/>
      <c r="BB529" s="349"/>
      <c r="BC529" s="349"/>
      <c r="BD529" s="349"/>
      <c r="BE529" s="349"/>
      <c r="BF529" s="349"/>
      <c r="BG529" s="349"/>
      <c r="BH529" s="349"/>
      <c r="BI529" s="349"/>
      <c r="BJ529" s="349"/>
      <c r="BK529" s="349"/>
      <c r="BL529" s="349"/>
      <c r="BM529" s="349"/>
      <c r="BN529" s="349"/>
      <c r="BO529" s="349"/>
      <c r="BP529" s="349"/>
      <c r="BQ529" s="349"/>
      <c r="BR529" s="349"/>
      <c r="BS529" s="349"/>
    </row>
    <row r="530" spans="1:71" x14ac:dyDescent="0.3">
      <c r="A530" s="349"/>
      <c r="B530" s="349"/>
      <c r="C530" s="349"/>
      <c r="D530" s="349"/>
      <c r="E530" s="349"/>
      <c r="F530" s="349"/>
      <c r="G530" s="349"/>
      <c r="H530" s="349"/>
      <c r="I530" s="349"/>
      <c r="J530" s="349"/>
      <c r="K530" s="349"/>
      <c r="L530" s="349"/>
      <c r="M530" s="349"/>
      <c r="N530" s="349"/>
      <c r="O530" s="349"/>
      <c r="P530" s="349"/>
      <c r="Q530" s="349"/>
      <c r="R530" s="349"/>
      <c r="S530" s="349"/>
      <c r="T530" s="349"/>
      <c r="U530" s="349"/>
      <c r="V530" s="349"/>
      <c r="W530" s="349"/>
      <c r="X530" s="349"/>
      <c r="Y530" s="349"/>
      <c r="Z530" s="349"/>
      <c r="AA530" s="349"/>
      <c r="AB530" s="349"/>
      <c r="AC530" s="349"/>
      <c r="AD530" s="349"/>
      <c r="AE530" s="349"/>
      <c r="AF530" s="349"/>
      <c r="AG530" s="349"/>
      <c r="AH530" s="349"/>
      <c r="AI530" s="349"/>
      <c r="AJ530" s="349"/>
      <c r="AK530" s="349"/>
      <c r="AL530" s="349"/>
      <c r="AM530" s="349"/>
      <c r="AN530" s="349"/>
      <c r="AO530" s="349"/>
      <c r="AP530" s="349"/>
      <c r="AQ530" s="349"/>
      <c r="AR530" s="349"/>
      <c r="AS530" s="349"/>
      <c r="AT530" s="349"/>
      <c r="AU530" s="349"/>
      <c r="AV530" s="349"/>
      <c r="AW530" s="349"/>
      <c r="AX530" s="349"/>
      <c r="AY530" s="349"/>
      <c r="AZ530" s="349"/>
      <c r="BA530" s="349"/>
      <c r="BB530" s="349"/>
      <c r="BC530" s="349"/>
      <c r="BD530" s="349"/>
      <c r="BE530" s="349"/>
      <c r="BF530" s="349"/>
      <c r="BG530" s="349"/>
      <c r="BH530" s="349"/>
      <c r="BI530" s="349"/>
      <c r="BJ530" s="349"/>
      <c r="BK530" s="349"/>
      <c r="BL530" s="349"/>
      <c r="BM530" s="349"/>
      <c r="BN530" s="349"/>
      <c r="BO530" s="349"/>
      <c r="BP530" s="349"/>
      <c r="BQ530" s="349"/>
      <c r="BR530" s="349"/>
      <c r="BS530" s="349"/>
    </row>
    <row r="531" spans="1:71" x14ac:dyDescent="0.3">
      <c r="A531" s="349"/>
      <c r="B531" s="349"/>
      <c r="C531" s="349"/>
      <c r="D531" s="349"/>
      <c r="E531" s="349"/>
      <c r="F531" s="349"/>
      <c r="G531" s="349"/>
      <c r="H531" s="349"/>
      <c r="I531" s="349"/>
      <c r="J531" s="349"/>
      <c r="K531" s="349"/>
      <c r="L531" s="349"/>
      <c r="M531" s="349"/>
      <c r="N531" s="349"/>
      <c r="O531" s="349"/>
      <c r="P531" s="349"/>
      <c r="Q531" s="349"/>
      <c r="R531" s="349"/>
      <c r="S531" s="349"/>
      <c r="T531" s="349"/>
      <c r="U531" s="349"/>
      <c r="V531" s="349"/>
      <c r="W531" s="349"/>
      <c r="X531" s="349"/>
      <c r="Y531" s="349"/>
      <c r="Z531" s="349"/>
      <c r="AA531" s="349"/>
      <c r="AB531" s="349"/>
      <c r="AC531" s="349"/>
      <c r="AD531" s="349"/>
      <c r="AE531" s="349"/>
      <c r="AF531" s="349"/>
      <c r="AG531" s="349"/>
      <c r="AH531" s="349"/>
      <c r="AI531" s="349"/>
      <c r="AJ531" s="349"/>
      <c r="AK531" s="349"/>
      <c r="AL531" s="349"/>
      <c r="AM531" s="349"/>
      <c r="AN531" s="349"/>
      <c r="AO531" s="349"/>
      <c r="AP531" s="349"/>
      <c r="AQ531" s="349"/>
      <c r="AR531" s="349"/>
      <c r="AS531" s="349"/>
      <c r="AT531" s="349"/>
      <c r="AU531" s="349"/>
      <c r="AV531" s="349"/>
      <c r="AW531" s="349"/>
      <c r="AX531" s="349"/>
      <c r="AY531" s="349"/>
      <c r="AZ531" s="349"/>
      <c r="BA531" s="349"/>
      <c r="BB531" s="349"/>
      <c r="BC531" s="349"/>
      <c r="BD531" s="349"/>
      <c r="BE531" s="349"/>
      <c r="BF531" s="349"/>
      <c r="BG531" s="349"/>
      <c r="BH531" s="349"/>
      <c r="BI531" s="349"/>
      <c r="BJ531" s="349"/>
      <c r="BK531" s="349"/>
      <c r="BL531" s="349"/>
      <c r="BM531" s="349"/>
      <c r="BN531" s="349"/>
      <c r="BO531" s="349"/>
      <c r="BP531" s="349"/>
      <c r="BQ531" s="349"/>
      <c r="BR531" s="349"/>
      <c r="BS531" s="349"/>
    </row>
    <row r="532" spans="1:71" x14ac:dyDescent="0.3">
      <c r="A532" s="349"/>
      <c r="B532" s="349"/>
      <c r="C532" s="349"/>
      <c r="D532" s="349"/>
      <c r="E532" s="349"/>
      <c r="F532" s="349"/>
      <c r="G532" s="349"/>
      <c r="H532" s="349"/>
      <c r="I532" s="349"/>
      <c r="J532" s="349"/>
      <c r="K532" s="349"/>
      <c r="L532" s="349"/>
      <c r="M532" s="349"/>
      <c r="N532" s="349"/>
      <c r="O532" s="349"/>
      <c r="P532" s="349"/>
      <c r="Q532" s="349"/>
      <c r="R532" s="349"/>
      <c r="S532" s="349"/>
      <c r="T532" s="349"/>
      <c r="U532" s="349"/>
      <c r="V532" s="349"/>
      <c r="W532" s="349"/>
      <c r="X532" s="349"/>
      <c r="Y532" s="349"/>
      <c r="Z532" s="349"/>
      <c r="AA532" s="349"/>
      <c r="AB532" s="349"/>
      <c r="AC532" s="349"/>
      <c r="AD532" s="349"/>
      <c r="AE532" s="349"/>
      <c r="AF532" s="349"/>
      <c r="AG532" s="349"/>
      <c r="AH532" s="349"/>
      <c r="AI532" s="349"/>
      <c r="AJ532" s="349"/>
      <c r="AK532" s="349"/>
      <c r="AL532" s="349"/>
      <c r="AM532" s="349"/>
      <c r="AN532" s="349"/>
      <c r="AO532" s="349"/>
      <c r="AP532" s="349"/>
      <c r="AQ532" s="349"/>
      <c r="AR532" s="349"/>
      <c r="AS532" s="349"/>
      <c r="AT532" s="349"/>
      <c r="AU532" s="349"/>
      <c r="AV532" s="349"/>
      <c r="AW532" s="349"/>
      <c r="AX532" s="349"/>
      <c r="AY532" s="349"/>
      <c r="AZ532" s="349"/>
      <c r="BA532" s="349"/>
      <c r="BB532" s="349"/>
      <c r="BC532" s="349"/>
      <c r="BD532" s="349"/>
      <c r="BE532" s="349"/>
      <c r="BF532" s="349"/>
      <c r="BG532" s="349"/>
      <c r="BH532" s="349"/>
      <c r="BI532" s="349"/>
      <c r="BJ532" s="349"/>
      <c r="BK532" s="349"/>
      <c r="BL532" s="349"/>
      <c r="BM532" s="349"/>
      <c r="BN532" s="349"/>
      <c r="BO532" s="349"/>
      <c r="BP532" s="349"/>
      <c r="BQ532" s="349"/>
      <c r="BR532" s="349"/>
      <c r="BS532" s="349"/>
    </row>
    <row r="533" spans="1:71" x14ac:dyDescent="0.3">
      <c r="A533" s="349"/>
      <c r="B533" s="349"/>
      <c r="C533" s="349"/>
      <c r="D533" s="349"/>
      <c r="E533" s="349"/>
      <c r="F533" s="349"/>
      <c r="G533" s="349"/>
      <c r="H533" s="349"/>
      <c r="I533" s="349"/>
      <c r="J533" s="349"/>
      <c r="K533" s="349"/>
      <c r="L533" s="349"/>
      <c r="M533" s="349"/>
      <c r="N533" s="349"/>
      <c r="O533" s="349"/>
      <c r="P533" s="349"/>
      <c r="Q533" s="349"/>
      <c r="R533" s="349"/>
      <c r="S533" s="349"/>
      <c r="T533" s="349"/>
      <c r="U533" s="349"/>
      <c r="V533" s="349"/>
      <c r="W533" s="349"/>
      <c r="X533" s="349"/>
      <c r="Y533" s="349"/>
      <c r="Z533" s="349"/>
      <c r="AA533" s="349"/>
      <c r="AB533" s="349"/>
      <c r="AC533" s="349"/>
      <c r="AD533" s="349"/>
      <c r="AE533" s="349"/>
      <c r="AF533" s="349"/>
      <c r="AG533" s="349"/>
      <c r="AH533" s="349"/>
      <c r="AI533" s="349"/>
      <c r="AJ533" s="349"/>
      <c r="AK533" s="349"/>
      <c r="AL533" s="349"/>
      <c r="AM533" s="349"/>
      <c r="AN533" s="349"/>
      <c r="AO533" s="349"/>
      <c r="AP533" s="349"/>
      <c r="AQ533" s="349"/>
      <c r="AR533" s="349"/>
      <c r="AS533" s="349"/>
      <c r="AT533" s="349"/>
      <c r="AU533" s="349"/>
      <c r="AV533" s="349"/>
      <c r="AW533" s="349"/>
      <c r="AX533" s="349"/>
      <c r="AY533" s="349"/>
      <c r="AZ533" s="349"/>
      <c r="BA533" s="349"/>
      <c r="BB533" s="349"/>
      <c r="BC533" s="349"/>
      <c r="BD533" s="349"/>
      <c r="BE533" s="349"/>
      <c r="BF533" s="349"/>
      <c r="BG533" s="349"/>
      <c r="BH533" s="349"/>
      <c r="BI533" s="349"/>
      <c r="BJ533" s="349"/>
      <c r="BK533" s="349"/>
      <c r="BL533" s="349"/>
      <c r="BM533" s="349"/>
      <c r="BN533" s="349"/>
      <c r="BO533" s="349"/>
      <c r="BP533" s="349"/>
      <c r="BQ533" s="349"/>
      <c r="BR533" s="349"/>
      <c r="BS533" s="349"/>
    </row>
    <row r="534" spans="1:71" x14ac:dyDescent="0.3">
      <c r="A534" s="349"/>
      <c r="B534" s="349"/>
      <c r="C534" s="349"/>
      <c r="D534" s="349"/>
      <c r="E534" s="349"/>
      <c r="F534" s="349"/>
      <c r="G534" s="349"/>
      <c r="H534" s="349"/>
      <c r="I534" s="349"/>
      <c r="J534" s="349"/>
      <c r="K534" s="349"/>
      <c r="L534" s="349"/>
      <c r="M534" s="349"/>
      <c r="N534" s="349"/>
      <c r="O534" s="349"/>
      <c r="P534" s="349"/>
      <c r="Q534" s="349"/>
      <c r="R534" s="349"/>
      <c r="S534" s="349"/>
      <c r="T534" s="349"/>
      <c r="U534" s="349"/>
      <c r="V534" s="349"/>
      <c r="W534" s="349"/>
      <c r="X534" s="349"/>
      <c r="Y534" s="349"/>
      <c r="Z534" s="349"/>
      <c r="AA534" s="349"/>
      <c r="AB534" s="349"/>
      <c r="AC534" s="349"/>
      <c r="AD534" s="349"/>
      <c r="AE534" s="349"/>
      <c r="AF534" s="349"/>
      <c r="AG534" s="349"/>
      <c r="AH534" s="349"/>
      <c r="AI534" s="349"/>
      <c r="AJ534" s="349"/>
      <c r="AK534" s="349"/>
      <c r="AL534" s="349"/>
      <c r="AM534" s="349"/>
      <c r="AN534" s="349"/>
      <c r="AO534" s="349"/>
      <c r="AP534" s="349"/>
      <c r="AQ534" s="349"/>
      <c r="AR534" s="349"/>
      <c r="AS534" s="349"/>
      <c r="AT534" s="349"/>
      <c r="AU534" s="349"/>
      <c r="AV534" s="349"/>
      <c r="AW534" s="349"/>
      <c r="AX534" s="349"/>
      <c r="AY534" s="349"/>
      <c r="AZ534" s="349"/>
      <c r="BA534" s="349"/>
      <c r="BB534" s="349"/>
      <c r="BC534" s="349"/>
      <c r="BD534" s="349"/>
      <c r="BE534" s="349"/>
      <c r="BF534" s="349"/>
      <c r="BG534" s="349"/>
      <c r="BH534" s="349"/>
      <c r="BI534" s="349"/>
      <c r="BJ534" s="349"/>
      <c r="BK534" s="349"/>
      <c r="BL534" s="349"/>
      <c r="BM534" s="349"/>
      <c r="BN534" s="349"/>
      <c r="BO534" s="349"/>
      <c r="BP534" s="349"/>
      <c r="BQ534" s="349"/>
      <c r="BR534" s="349"/>
      <c r="BS534" s="349"/>
    </row>
    <row r="535" spans="1:71" x14ac:dyDescent="0.3">
      <c r="A535" s="349"/>
      <c r="B535" s="349"/>
      <c r="C535" s="349"/>
      <c r="D535" s="349"/>
      <c r="E535" s="349"/>
      <c r="F535" s="349"/>
      <c r="G535" s="349"/>
      <c r="H535" s="349"/>
      <c r="I535" s="349"/>
      <c r="J535" s="349"/>
      <c r="K535" s="349"/>
      <c r="L535" s="349"/>
      <c r="M535" s="349"/>
      <c r="N535" s="349"/>
      <c r="O535" s="349"/>
      <c r="P535" s="349"/>
      <c r="Q535" s="349"/>
      <c r="R535" s="349"/>
      <c r="S535" s="349"/>
      <c r="T535" s="349"/>
      <c r="U535" s="349"/>
      <c r="V535" s="349"/>
      <c r="W535" s="349"/>
      <c r="X535" s="349"/>
      <c r="Y535" s="349"/>
      <c r="Z535" s="349"/>
      <c r="AA535" s="349"/>
      <c r="AB535" s="349"/>
      <c r="AC535" s="349"/>
      <c r="AD535" s="349"/>
      <c r="AE535" s="349"/>
      <c r="AF535" s="349"/>
      <c r="AG535" s="349"/>
      <c r="AH535" s="349"/>
      <c r="AI535" s="349"/>
      <c r="AJ535" s="349"/>
      <c r="AK535" s="349"/>
      <c r="AL535" s="349"/>
      <c r="AM535" s="349"/>
      <c r="AN535" s="349"/>
      <c r="AO535" s="349"/>
      <c r="AP535" s="349"/>
      <c r="AQ535" s="349"/>
      <c r="AR535" s="349"/>
      <c r="AS535" s="349"/>
      <c r="AT535" s="349"/>
      <c r="AU535" s="349"/>
      <c r="AV535" s="349"/>
      <c r="AW535" s="349"/>
      <c r="AX535" s="349"/>
      <c r="AY535" s="349"/>
      <c r="AZ535" s="349"/>
      <c r="BA535" s="349"/>
      <c r="BB535" s="349"/>
      <c r="BC535" s="349"/>
      <c r="BD535" s="349"/>
      <c r="BE535" s="349"/>
      <c r="BF535" s="349"/>
      <c r="BG535" s="349"/>
      <c r="BH535" s="349"/>
      <c r="BI535" s="349"/>
      <c r="BJ535" s="349"/>
      <c r="BK535" s="349"/>
      <c r="BL535" s="349"/>
      <c r="BM535" s="349"/>
      <c r="BN535" s="349"/>
      <c r="BO535" s="349"/>
      <c r="BP535" s="349"/>
      <c r="BQ535" s="349"/>
      <c r="BR535" s="349"/>
      <c r="BS535" s="349"/>
    </row>
    <row r="536" spans="1:71" x14ac:dyDescent="0.3">
      <c r="A536" s="349"/>
      <c r="B536" s="349"/>
      <c r="C536" s="349"/>
      <c r="D536" s="349"/>
      <c r="E536" s="349"/>
      <c r="F536" s="349"/>
      <c r="G536" s="349"/>
      <c r="H536" s="349"/>
      <c r="I536" s="349"/>
      <c r="J536" s="349"/>
      <c r="K536" s="349"/>
      <c r="L536" s="349"/>
      <c r="M536" s="349"/>
      <c r="N536" s="349"/>
      <c r="O536" s="349"/>
      <c r="P536" s="349"/>
      <c r="Q536" s="349"/>
      <c r="R536" s="349"/>
      <c r="S536" s="349"/>
      <c r="T536" s="349"/>
      <c r="U536" s="349"/>
      <c r="V536" s="349"/>
      <c r="W536" s="349"/>
      <c r="X536" s="349"/>
      <c r="Y536" s="349"/>
      <c r="Z536" s="349"/>
      <c r="AA536" s="349"/>
      <c r="AB536" s="349"/>
      <c r="AC536" s="349"/>
      <c r="AD536" s="349"/>
      <c r="AE536" s="349"/>
      <c r="AF536" s="349"/>
      <c r="AG536" s="349"/>
      <c r="AH536" s="349"/>
      <c r="AI536" s="349"/>
      <c r="AJ536" s="349"/>
      <c r="AK536" s="349"/>
      <c r="AL536" s="349"/>
      <c r="AM536" s="349"/>
      <c r="AN536" s="349"/>
      <c r="AO536" s="349"/>
      <c r="AP536" s="349"/>
      <c r="AQ536" s="349"/>
      <c r="AR536" s="349"/>
      <c r="AS536" s="349"/>
      <c r="AT536" s="349"/>
      <c r="AU536" s="349"/>
      <c r="AV536" s="349"/>
      <c r="AW536" s="349"/>
      <c r="AX536" s="349"/>
      <c r="AY536" s="349"/>
      <c r="AZ536" s="349"/>
      <c r="BA536" s="349"/>
      <c r="BB536" s="349"/>
      <c r="BC536" s="349"/>
      <c r="BD536" s="349"/>
      <c r="BE536" s="349"/>
      <c r="BF536" s="349"/>
      <c r="BG536" s="349"/>
      <c r="BH536" s="349"/>
      <c r="BI536" s="349"/>
      <c r="BJ536" s="349"/>
      <c r="BK536" s="349"/>
      <c r="BL536" s="349"/>
      <c r="BM536" s="349"/>
      <c r="BN536" s="349"/>
      <c r="BO536" s="349"/>
      <c r="BP536" s="349"/>
      <c r="BQ536" s="349"/>
      <c r="BR536" s="349"/>
      <c r="BS536" s="349"/>
    </row>
    <row r="537" spans="1:71" x14ac:dyDescent="0.3">
      <c r="A537" s="349"/>
      <c r="B537" s="349"/>
      <c r="C537" s="349"/>
      <c r="D537" s="349"/>
      <c r="E537" s="349"/>
      <c r="F537" s="349"/>
      <c r="G537" s="349"/>
      <c r="H537" s="349"/>
      <c r="I537" s="349"/>
      <c r="J537" s="349"/>
      <c r="K537" s="349"/>
      <c r="L537" s="349"/>
      <c r="M537" s="349"/>
      <c r="N537" s="349"/>
      <c r="O537" s="349"/>
      <c r="P537" s="349"/>
      <c r="Q537" s="349"/>
      <c r="R537" s="349"/>
      <c r="S537" s="349"/>
      <c r="T537" s="349"/>
      <c r="U537" s="349"/>
      <c r="V537" s="349"/>
      <c r="W537" s="349"/>
      <c r="X537" s="349"/>
      <c r="Y537" s="349"/>
      <c r="Z537" s="349"/>
      <c r="AA537" s="349"/>
      <c r="AB537" s="349"/>
      <c r="AC537" s="349"/>
      <c r="AD537" s="349"/>
      <c r="AE537" s="349"/>
      <c r="AF537" s="349"/>
      <c r="AG537" s="349"/>
      <c r="AH537" s="349"/>
      <c r="AI537" s="349"/>
      <c r="AJ537" s="349"/>
      <c r="AK537" s="349"/>
      <c r="AL537" s="349"/>
      <c r="AM537" s="349"/>
      <c r="AN537" s="349"/>
      <c r="AO537" s="349"/>
      <c r="AP537" s="349"/>
      <c r="AQ537" s="349"/>
      <c r="AR537" s="349"/>
      <c r="AS537" s="349"/>
      <c r="AT537" s="349"/>
      <c r="AU537" s="349"/>
      <c r="AV537" s="349"/>
      <c r="AW537" s="349"/>
      <c r="AX537" s="349"/>
      <c r="AY537" s="349"/>
      <c r="AZ537" s="349"/>
      <c r="BA537" s="349"/>
      <c r="BB537" s="349"/>
      <c r="BC537" s="349"/>
      <c r="BD537" s="349"/>
      <c r="BE537" s="349"/>
      <c r="BF537" s="349"/>
      <c r="BG537" s="349"/>
      <c r="BH537" s="349"/>
      <c r="BI537" s="349"/>
      <c r="BJ537" s="349"/>
      <c r="BK537" s="349"/>
      <c r="BL537" s="349"/>
      <c r="BM537" s="349"/>
      <c r="BN537" s="349"/>
      <c r="BO537" s="349"/>
      <c r="BP537" s="349"/>
      <c r="BQ537" s="349"/>
      <c r="BR537" s="349"/>
      <c r="BS537" s="349"/>
    </row>
    <row r="538" spans="1:71" x14ac:dyDescent="0.3">
      <c r="A538" s="349"/>
      <c r="B538" s="349"/>
      <c r="C538" s="349"/>
      <c r="D538" s="349"/>
      <c r="E538" s="349"/>
      <c r="F538" s="349"/>
      <c r="G538" s="349"/>
      <c r="H538" s="349"/>
      <c r="I538" s="349"/>
      <c r="J538" s="349"/>
      <c r="K538" s="349"/>
      <c r="L538" s="349"/>
      <c r="M538" s="349"/>
      <c r="N538" s="349"/>
      <c r="O538" s="349"/>
      <c r="P538" s="349"/>
      <c r="Q538" s="349"/>
      <c r="R538" s="349"/>
      <c r="S538" s="349"/>
      <c r="T538" s="349"/>
      <c r="U538" s="349"/>
      <c r="V538" s="349"/>
      <c r="W538" s="349"/>
      <c r="X538" s="349"/>
      <c r="Y538" s="349"/>
      <c r="Z538" s="349"/>
      <c r="AA538" s="349"/>
      <c r="AB538" s="349"/>
      <c r="AC538" s="349"/>
      <c r="AD538" s="349"/>
      <c r="AE538" s="349"/>
      <c r="AF538" s="349"/>
      <c r="AG538" s="349"/>
      <c r="AH538" s="349"/>
      <c r="AI538" s="349"/>
      <c r="AJ538" s="349"/>
      <c r="AK538" s="349"/>
      <c r="AL538" s="349"/>
      <c r="AM538" s="349"/>
      <c r="AN538" s="349"/>
      <c r="AO538" s="349"/>
      <c r="AP538" s="349"/>
      <c r="AQ538" s="349"/>
      <c r="AR538" s="349"/>
      <c r="AS538" s="349"/>
      <c r="AT538" s="349"/>
      <c r="AU538" s="349"/>
      <c r="AV538" s="349"/>
      <c r="AW538" s="349"/>
      <c r="AX538" s="349"/>
      <c r="AY538" s="349"/>
      <c r="AZ538" s="349"/>
      <c r="BA538" s="349"/>
      <c r="BB538" s="349"/>
      <c r="BC538" s="349"/>
      <c r="BD538" s="349"/>
      <c r="BE538" s="349"/>
      <c r="BF538" s="349"/>
      <c r="BG538" s="349"/>
      <c r="BH538" s="349"/>
      <c r="BI538" s="349"/>
      <c r="BJ538" s="349"/>
      <c r="BK538" s="349"/>
      <c r="BL538" s="349"/>
      <c r="BM538" s="349"/>
      <c r="BN538" s="349"/>
      <c r="BO538" s="349"/>
      <c r="BP538" s="349"/>
      <c r="BQ538" s="349"/>
      <c r="BR538" s="349"/>
      <c r="BS538" s="349"/>
    </row>
    <row r="539" spans="1:71" x14ac:dyDescent="0.3">
      <c r="A539" s="349"/>
      <c r="B539" s="349"/>
      <c r="C539" s="349"/>
      <c r="D539" s="349"/>
      <c r="E539" s="349"/>
      <c r="F539" s="349"/>
      <c r="G539" s="349"/>
      <c r="H539" s="349"/>
      <c r="I539" s="349"/>
      <c r="J539" s="349"/>
      <c r="K539" s="349"/>
      <c r="L539" s="349"/>
      <c r="M539" s="349"/>
      <c r="N539" s="349"/>
      <c r="O539" s="349"/>
      <c r="P539" s="349"/>
      <c r="Q539" s="349"/>
      <c r="R539" s="349"/>
      <c r="S539" s="349"/>
      <c r="T539" s="349"/>
      <c r="U539" s="349"/>
      <c r="V539" s="349"/>
      <c r="W539" s="349"/>
      <c r="X539" s="349"/>
      <c r="Y539" s="349"/>
      <c r="Z539" s="349"/>
      <c r="AA539" s="349"/>
      <c r="AB539" s="349"/>
      <c r="AC539" s="349"/>
      <c r="AD539" s="349"/>
      <c r="AE539" s="349"/>
      <c r="AF539" s="349"/>
      <c r="AG539" s="349"/>
      <c r="AH539" s="349"/>
      <c r="AI539" s="349"/>
      <c r="AJ539" s="349"/>
      <c r="AK539" s="349"/>
      <c r="AL539" s="349"/>
      <c r="AM539" s="349"/>
      <c r="AN539" s="349"/>
      <c r="AO539" s="349"/>
      <c r="AP539" s="349"/>
      <c r="AQ539" s="349"/>
      <c r="AR539" s="349"/>
      <c r="AS539" s="349"/>
      <c r="AT539" s="349"/>
      <c r="AU539" s="349"/>
      <c r="AV539" s="349"/>
      <c r="AW539" s="349"/>
      <c r="AX539" s="349"/>
      <c r="AY539" s="349"/>
      <c r="AZ539" s="349"/>
      <c r="BA539" s="349"/>
      <c r="BB539" s="349"/>
      <c r="BC539" s="349"/>
      <c r="BD539" s="349"/>
      <c r="BE539" s="349"/>
      <c r="BF539" s="349"/>
      <c r="BG539" s="349"/>
      <c r="BH539" s="349"/>
      <c r="BI539" s="349"/>
      <c r="BJ539" s="349"/>
      <c r="BK539" s="349"/>
      <c r="BL539" s="349"/>
      <c r="BM539" s="349"/>
      <c r="BN539" s="349"/>
      <c r="BO539" s="349"/>
      <c r="BP539" s="349"/>
      <c r="BQ539" s="349"/>
      <c r="BR539" s="349"/>
      <c r="BS539" s="349"/>
    </row>
    <row r="540" spans="1:71" x14ac:dyDescent="0.3">
      <c r="A540" s="349"/>
      <c r="B540" s="349"/>
      <c r="C540" s="349"/>
      <c r="D540" s="349"/>
      <c r="E540" s="349"/>
      <c r="F540" s="349"/>
      <c r="G540" s="349"/>
      <c r="H540" s="349"/>
      <c r="I540" s="349"/>
      <c r="J540" s="349"/>
      <c r="K540" s="349"/>
      <c r="L540" s="349"/>
      <c r="M540" s="349"/>
      <c r="N540" s="349"/>
      <c r="O540" s="349"/>
      <c r="P540" s="349"/>
      <c r="Q540" s="349"/>
      <c r="R540" s="349"/>
      <c r="S540" s="349"/>
      <c r="T540" s="349"/>
      <c r="U540" s="349"/>
      <c r="V540" s="349"/>
      <c r="W540" s="349"/>
      <c r="X540" s="349"/>
      <c r="Y540" s="349"/>
      <c r="Z540" s="349"/>
      <c r="AA540" s="349"/>
      <c r="AB540" s="349"/>
      <c r="AC540" s="349"/>
      <c r="AD540" s="349"/>
      <c r="AE540" s="349"/>
      <c r="AF540" s="349"/>
      <c r="AG540" s="349"/>
      <c r="AH540" s="349"/>
      <c r="AI540" s="349"/>
      <c r="AJ540" s="349"/>
      <c r="AK540" s="349"/>
      <c r="AL540" s="349"/>
      <c r="AM540" s="349"/>
      <c r="AN540" s="349"/>
      <c r="AO540" s="349"/>
      <c r="AP540" s="349"/>
      <c r="AQ540" s="349"/>
      <c r="AR540" s="349"/>
      <c r="AS540" s="349"/>
      <c r="AT540" s="349"/>
      <c r="AU540" s="349"/>
      <c r="AV540" s="349"/>
      <c r="AW540" s="349"/>
      <c r="AX540" s="349"/>
      <c r="AY540" s="349"/>
      <c r="AZ540" s="349"/>
      <c r="BA540" s="349"/>
      <c r="BB540" s="349"/>
      <c r="BC540" s="349"/>
      <c r="BD540" s="349"/>
      <c r="BE540" s="349"/>
      <c r="BF540" s="349"/>
      <c r="BG540" s="349"/>
      <c r="BH540" s="349"/>
      <c r="BI540" s="349"/>
      <c r="BJ540" s="349"/>
      <c r="BK540" s="349"/>
      <c r="BL540" s="349"/>
      <c r="BM540" s="349"/>
      <c r="BN540" s="349"/>
      <c r="BO540" s="349"/>
      <c r="BP540" s="349"/>
      <c r="BQ540" s="349"/>
      <c r="BR540" s="349"/>
      <c r="BS540" s="349"/>
    </row>
    <row r="541" spans="1:71" x14ac:dyDescent="0.3">
      <c r="A541" s="349"/>
      <c r="B541" s="349"/>
      <c r="C541" s="349"/>
      <c r="D541" s="349"/>
      <c r="E541" s="349"/>
      <c r="F541" s="349"/>
      <c r="G541" s="349"/>
      <c r="H541" s="349"/>
      <c r="I541" s="349"/>
      <c r="J541" s="349"/>
      <c r="K541" s="349"/>
      <c r="L541" s="349"/>
      <c r="M541" s="349"/>
      <c r="N541" s="349"/>
      <c r="O541" s="349"/>
      <c r="P541" s="349"/>
      <c r="Q541" s="349"/>
      <c r="R541" s="349"/>
      <c r="S541" s="349"/>
      <c r="T541" s="349"/>
      <c r="U541" s="349"/>
      <c r="V541" s="349"/>
      <c r="W541" s="349"/>
      <c r="X541" s="349"/>
      <c r="Y541" s="349"/>
      <c r="Z541" s="349"/>
      <c r="AA541" s="349"/>
      <c r="AB541" s="349"/>
      <c r="AC541" s="349"/>
      <c r="AD541" s="349"/>
      <c r="AE541" s="349"/>
      <c r="AF541" s="349"/>
      <c r="AG541" s="349"/>
      <c r="AH541" s="349"/>
      <c r="AI541" s="349"/>
      <c r="AJ541" s="349"/>
      <c r="AK541" s="349"/>
      <c r="AL541" s="349"/>
      <c r="AM541" s="349"/>
      <c r="AN541" s="349"/>
      <c r="AO541" s="349"/>
      <c r="AP541" s="349"/>
      <c r="AQ541" s="349"/>
      <c r="AR541" s="349"/>
      <c r="AS541" s="349"/>
      <c r="AT541" s="349"/>
      <c r="AU541" s="349"/>
      <c r="AV541" s="349"/>
      <c r="AW541" s="349"/>
      <c r="AX541" s="349"/>
      <c r="AY541" s="349"/>
      <c r="AZ541" s="349"/>
      <c r="BA541" s="349"/>
      <c r="BB541" s="349"/>
      <c r="BC541" s="349"/>
      <c r="BD541" s="349"/>
      <c r="BE541" s="349"/>
      <c r="BF541" s="349"/>
      <c r="BG541" s="349"/>
      <c r="BH541" s="349"/>
      <c r="BI541" s="349"/>
      <c r="BJ541" s="349"/>
      <c r="BK541" s="349"/>
      <c r="BL541" s="349"/>
      <c r="BM541" s="349"/>
      <c r="BN541" s="349"/>
      <c r="BO541" s="349"/>
      <c r="BP541" s="349"/>
      <c r="BQ541" s="349"/>
      <c r="BR541" s="349"/>
      <c r="BS541" s="349"/>
    </row>
    <row r="542" spans="1:71" x14ac:dyDescent="0.3">
      <c r="A542" s="349"/>
      <c r="B542" s="349"/>
      <c r="C542" s="349"/>
      <c r="D542" s="349"/>
      <c r="E542" s="349"/>
      <c r="F542" s="349"/>
      <c r="G542" s="349"/>
      <c r="H542" s="349"/>
      <c r="I542" s="349"/>
      <c r="J542" s="349"/>
      <c r="K542" s="349"/>
      <c r="L542" s="349"/>
      <c r="M542" s="349"/>
      <c r="N542" s="349"/>
      <c r="O542" s="349"/>
      <c r="P542" s="349"/>
      <c r="Q542" s="349"/>
      <c r="R542" s="349"/>
      <c r="S542" s="349"/>
      <c r="T542" s="349"/>
      <c r="U542" s="349"/>
      <c r="V542" s="349"/>
      <c r="W542" s="349"/>
      <c r="X542" s="349"/>
      <c r="Y542" s="349"/>
      <c r="Z542" s="349"/>
      <c r="AA542" s="349"/>
      <c r="AB542" s="349"/>
      <c r="AC542" s="349"/>
      <c r="AD542" s="349"/>
      <c r="AE542" s="349"/>
      <c r="AF542" s="349"/>
      <c r="AG542" s="349"/>
      <c r="AH542" s="349"/>
      <c r="AI542" s="349"/>
      <c r="AJ542" s="349"/>
      <c r="AK542" s="349"/>
      <c r="AL542" s="349"/>
      <c r="AM542" s="349"/>
      <c r="AN542" s="349"/>
      <c r="AO542" s="349"/>
      <c r="AP542" s="349"/>
      <c r="AQ542" s="349"/>
      <c r="AR542" s="349"/>
      <c r="AS542" s="349"/>
      <c r="AT542" s="349"/>
      <c r="AU542" s="349"/>
      <c r="AV542" s="349"/>
      <c r="AW542" s="349"/>
      <c r="AX542" s="349"/>
      <c r="AY542" s="349"/>
      <c r="AZ542" s="349"/>
      <c r="BA542" s="349"/>
      <c r="BB542" s="349"/>
      <c r="BC542" s="349"/>
      <c r="BD542" s="349"/>
      <c r="BE542" s="349"/>
      <c r="BF542" s="349"/>
      <c r="BG542" s="349"/>
      <c r="BH542" s="349"/>
      <c r="BI542" s="349"/>
      <c r="BJ542" s="349"/>
      <c r="BK542" s="349"/>
      <c r="BL542" s="349"/>
      <c r="BM542" s="349"/>
      <c r="BN542" s="349"/>
      <c r="BO542" s="349"/>
      <c r="BP542" s="349"/>
      <c r="BQ542" s="349"/>
      <c r="BR542" s="349"/>
      <c r="BS542" s="349"/>
    </row>
    <row r="543" spans="1:71" x14ac:dyDescent="0.3">
      <c r="A543" s="349"/>
      <c r="B543" s="349"/>
      <c r="C543" s="349"/>
      <c r="D543" s="349"/>
      <c r="E543" s="349"/>
      <c r="F543" s="349"/>
      <c r="G543" s="349"/>
      <c r="H543" s="349"/>
      <c r="I543" s="349"/>
      <c r="J543" s="349"/>
      <c r="K543" s="349"/>
      <c r="L543" s="349"/>
      <c r="M543" s="349"/>
      <c r="N543" s="349"/>
      <c r="O543" s="349"/>
      <c r="P543" s="349"/>
      <c r="Q543" s="349"/>
      <c r="R543" s="349"/>
      <c r="S543" s="349"/>
      <c r="T543" s="349"/>
      <c r="U543" s="349"/>
      <c r="V543" s="349"/>
      <c r="W543" s="349"/>
      <c r="X543" s="349"/>
      <c r="Y543" s="349"/>
      <c r="Z543" s="349"/>
      <c r="AA543" s="349"/>
      <c r="AB543" s="349"/>
      <c r="AC543" s="349"/>
      <c r="AD543" s="349"/>
      <c r="AE543" s="349"/>
      <c r="AF543" s="349"/>
      <c r="AG543" s="349"/>
      <c r="AH543" s="349"/>
      <c r="AI543" s="349"/>
      <c r="AJ543" s="349"/>
      <c r="AK543" s="349"/>
      <c r="AL543" s="349"/>
      <c r="AM543" s="349"/>
      <c r="AN543" s="349"/>
      <c r="AO543" s="349"/>
      <c r="AP543" s="349"/>
      <c r="AQ543" s="349"/>
      <c r="AR543" s="349"/>
      <c r="AS543" s="349"/>
      <c r="AT543" s="349"/>
      <c r="AU543" s="349"/>
      <c r="AV543" s="349"/>
      <c r="AW543" s="349"/>
      <c r="AX543" s="349"/>
      <c r="AY543" s="349"/>
      <c r="AZ543" s="349"/>
      <c r="BA543" s="349"/>
      <c r="BB543" s="349"/>
      <c r="BC543" s="349"/>
      <c r="BD543" s="349"/>
      <c r="BE543" s="349"/>
      <c r="BF543" s="349"/>
      <c r="BG543" s="349"/>
      <c r="BH543" s="349"/>
      <c r="BI543" s="349"/>
      <c r="BJ543" s="349"/>
      <c r="BK543" s="349"/>
      <c r="BL543" s="349"/>
      <c r="BM543" s="349"/>
      <c r="BN543" s="349"/>
      <c r="BO543" s="349"/>
      <c r="BP543" s="349"/>
      <c r="BQ543" s="349"/>
      <c r="BR543" s="349"/>
      <c r="BS543" s="349"/>
    </row>
    <row r="544" spans="1:71" x14ac:dyDescent="0.3">
      <c r="A544" s="349"/>
      <c r="B544" s="349"/>
      <c r="C544" s="349"/>
      <c r="D544" s="349"/>
      <c r="E544" s="349"/>
      <c r="F544" s="349"/>
      <c r="G544" s="349"/>
      <c r="H544" s="349"/>
      <c r="I544" s="349"/>
      <c r="J544" s="349"/>
      <c r="K544" s="349"/>
      <c r="L544" s="349"/>
      <c r="M544" s="349"/>
      <c r="N544" s="349"/>
      <c r="O544" s="349"/>
      <c r="P544" s="349"/>
      <c r="Q544" s="349"/>
      <c r="R544" s="349"/>
      <c r="S544" s="349"/>
      <c r="T544" s="349"/>
      <c r="U544" s="349"/>
      <c r="V544" s="349"/>
      <c r="W544" s="349"/>
      <c r="X544" s="349"/>
      <c r="Y544" s="349"/>
      <c r="Z544" s="349"/>
      <c r="AA544" s="349"/>
      <c r="AB544" s="349"/>
      <c r="AC544" s="349"/>
      <c r="AD544" s="349"/>
      <c r="AE544" s="349"/>
      <c r="AF544" s="349"/>
      <c r="AG544" s="349"/>
      <c r="AH544" s="349"/>
      <c r="AI544" s="349"/>
      <c r="AJ544" s="349"/>
      <c r="AK544" s="349"/>
      <c r="AL544" s="349"/>
      <c r="AM544" s="349"/>
      <c r="AN544" s="349"/>
      <c r="AO544" s="349"/>
      <c r="AP544" s="349"/>
      <c r="AQ544" s="349"/>
      <c r="AR544" s="349"/>
      <c r="AS544" s="349"/>
      <c r="AT544" s="349"/>
      <c r="AU544" s="349"/>
      <c r="AV544" s="349"/>
      <c r="AW544" s="349"/>
      <c r="AX544" s="349"/>
      <c r="AY544" s="349"/>
      <c r="AZ544" s="349"/>
      <c r="BA544" s="349"/>
      <c r="BB544" s="349"/>
      <c r="BC544" s="349"/>
      <c r="BD544" s="349"/>
      <c r="BE544" s="349"/>
      <c r="BF544" s="349"/>
      <c r="BG544" s="349"/>
      <c r="BH544" s="349"/>
      <c r="BI544" s="349"/>
      <c r="BJ544" s="349"/>
      <c r="BK544" s="349"/>
      <c r="BL544" s="349"/>
      <c r="BM544" s="349"/>
      <c r="BN544" s="349"/>
      <c r="BO544" s="349"/>
      <c r="BP544" s="349"/>
      <c r="BQ544" s="349"/>
      <c r="BR544" s="349"/>
      <c r="BS544" s="349"/>
    </row>
    <row r="545" spans="1:71" x14ac:dyDescent="0.3">
      <c r="A545" s="349"/>
      <c r="B545" s="349"/>
      <c r="C545" s="349"/>
      <c r="D545" s="349"/>
      <c r="E545" s="349"/>
      <c r="F545" s="349"/>
      <c r="G545" s="349"/>
      <c r="H545" s="349"/>
      <c r="I545" s="349"/>
      <c r="J545" s="349"/>
      <c r="K545" s="349"/>
      <c r="L545" s="349"/>
      <c r="M545" s="349"/>
      <c r="N545" s="349"/>
      <c r="O545" s="349"/>
      <c r="P545" s="349"/>
      <c r="Q545" s="349"/>
      <c r="R545" s="349"/>
      <c r="S545" s="349"/>
      <c r="T545" s="349"/>
      <c r="U545" s="349"/>
      <c r="V545" s="349"/>
      <c r="W545" s="349"/>
      <c r="X545" s="349"/>
      <c r="Y545" s="349"/>
      <c r="Z545" s="349"/>
      <c r="AA545" s="349"/>
      <c r="AB545" s="349"/>
      <c r="AC545" s="349"/>
      <c r="AD545" s="349"/>
      <c r="AE545" s="349"/>
      <c r="AF545" s="349"/>
      <c r="AG545" s="349"/>
      <c r="AH545" s="349"/>
      <c r="AI545" s="349"/>
      <c r="AJ545" s="349"/>
      <c r="AK545" s="349"/>
      <c r="AL545" s="349"/>
      <c r="AM545" s="349"/>
      <c r="AN545" s="349"/>
      <c r="AO545" s="349"/>
      <c r="AP545" s="349"/>
      <c r="AQ545" s="349"/>
      <c r="AR545" s="349"/>
      <c r="AS545" s="349"/>
      <c r="AT545" s="349"/>
      <c r="AU545" s="349"/>
      <c r="AV545" s="349"/>
      <c r="AW545" s="349"/>
      <c r="AX545" s="349"/>
      <c r="AY545" s="349"/>
      <c r="AZ545" s="349"/>
      <c r="BA545" s="349"/>
      <c r="BB545" s="349"/>
      <c r="BC545" s="349"/>
      <c r="BD545" s="349"/>
      <c r="BE545" s="349"/>
      <c r="BF545" s="349"/>
      <c r="BG545" s="349"/>
      <c r="BH545" s="349"/>
      <c r="BI545" s="349"/>
      <c r="BJ545" s="349"/>
      <c r="BK545" s="349"/>
      <c r="BL545" s="349"/>
      <c r="BM545" s="349"/>
      <c r="BN545" s="349"/>
      <c r="BO545" s="349"/>
      <c r="BP545" s="349"/>
      <c r="BQ545" s="349"/>
      <c r="BR545" s="349"/>
      <c r="BS545" s="349"/>
    </row>
    <row r="546" spans="1:71" x14ac:dyDescent="0.3">
      <c r="A546" s="349"/>
      <c r="B546" s="349"/>
      <c r="C546" s="349"/>
      <c r="D546" s="349"/>
      <c r="E546" s="349"/>
      <c r="F546" s="349"/>
      <c r="G546" s="349"/>
      <c r="H546" s="349"/>
      <c r="I546" s="349"/>
      <c r="J546" s="349"/>
      <c r="K546" s="349"/>
      <c r="L546" s="349"/>
      <c r="M546" s="349"/>
      <c r="N546" s="349"/>
      <c r="O546" s="349"/>
      <c r="P546" s="349"/>
      <c r="Q546" s="349"/>
      <c r="R546" s="349"/>
      <c r="S546" s="349"/>
      <c r="T546" s="349"/>
      <c r="U546" s="349"/>
      <c r="V546" s="349"/>
      <c r="W546" s="349"/>
      <c r="X546" s="349"/>
      <c r="Y546" s="349"/>
      <c r="Z546" s="349"/>
      <c r="AA546" s="349"/>
      <c r="AB546" s="349"/>
      <c r="AC546" s="349"/>
      <c r="AD546" s="349"/>
      <c r="AE546" s="349"/>
      <c r="AF546" s="349"/>
      <c r="AG546" s="349"/>
      <c r="AH546" s="349"/>
      <c r="AI546" s="349"/>
      <c r="AJ546" s="349"/>
      <c r="AK546" s="349"/>
      <c r="AL546" s="349"/>
      <c r="AM546" s="349"/>
      <c r="AN546" s="349"/>
      <c r="AO546" s="349"/>
      <c r="AP546" s="349"/>
      <c r="AQ546" s="349"/>
      <c r="AR546" s="349"/>
      <c r="AS546" s="349"/>
      <c r="AT546" s="349"/>
      <c r="AU546" s="349"/>
      <c r="AV546" s="349"/>
      <c r="AW546" s="349"/>
      <c r="AX546" s="349"/>
      <c r="AY546" s="349"/>
      <c r="AZ546" s="349"/>
      <c r="BA546" s="349"/>
      <c r="BB546" s="349"/>
      <c r="BC546" s="349"/>
      <c r="BD546" s="349"/>
      <c r="BE546" s="349"/>
      <c r="BF546" s="349"/>
      <c r="BG546" s="349"/>
      <c r="BH546" s="349"/>
      <c r="BI546" s="349"/>
      <c r="BJ546" s="349"/>
      <c r="BK546" s="349"/>
      <c r="BL546" s="349"/>
      <c r="BM546" s="349"/>
      <c r="BN546" s="349"/>
      <c r="BO546" s="349"/>
      <c r="BP546" s="349"/>
      <c r="BQ546" s="349"/>
      <c r="BR546" s="349"/>
      <c r="BS546" s="349"/>
    </row>
    <row r="547" spans="1:71" x14ac:dyDescent="0.3">
      <c r="A547" s="349"/>
      <c r="B547" s="349"/>
      <c r="C547" s="349"/>
      <c r="D547" s="349"/>
      <c r="E547" s="349"/>
      <c r="F547" s="349"/>
      <c r="G547" s="349"/>
      <c r="H547" s="349"/>
      <c r="I547" s="349"/>
      <c r="J547" s="349"/>
      <c r="K547" s="349"/>
      <c r="L547" s="349"/>
      <c r="M547" s="349"/>
      <c r="N547" s="349"/>
      <c r="O547" s="349"/>
      <c r="P547" s="349"/>
      <c r="Q547" s="349"/>
      <c r="R547" s="349"/>
      <c r="S547" s="349"/>
      <c r="T547" s="349"/>
      <c r="U547" s="349"/>
      <c r="V547" s="349"/>
      <c r="W547" s="349"/>
      <c r="X547" s="349"/>
      <c r="Y547" s="349"/>
      <c r="Z547" s="349"/>
      <c r="AA547" s="349"/>
      <c r="AB547" s="349"/>
      <c r="AC547" s="349"/>
      <c r="AD547" s="349"/>
      <c r="AE547" s="349"/>
      <c r="AF547" s="349"/>
      <c r="AG547" s="349"/>
      <c r="AH547" s="349"/>
      <c r="AI547" s="349"/>
      <c r="AJ547" s="349"/>
      <c r="AK547" s="349"/>
      <c r="AL547" s="349"/>
      <c r="AM547" s="349"/>
      <c r="AN547" s="349"/>
      <c r="AO547" s="349"/>
      <c r="AP547" s="349"/>
      <c r="AQ547" s="349"/>
      <c r="AR547" s="349"/>
      <c r="AS547" s="349"/>
      <c r="AT547" s="349"/>
      <c r="AU547" s="349"/>
      <c r="AV547" s="349"/>
      <c r="AW547" s="349"/>
      <c r="AX547" s="349"/>
      <c r="AY547" s="349"/>
      <c r="AZ547" s="349"/>
      <c r="BA547" s="349"/>
      <c r="BB547" s="349"/>
      <c r="BC547" s="349"/>
      <c r="BD547" s="349"/>
      <c r="BE547" s="349"/>
      <c r="BF547" s="349"/>
      <c r="BG547" s="349"/>
      <c r="BH547" s="349"/>
      <c r="BI547" s="349"/>
      <c r="BJ547" s="349"/>
      <c r="BK547" s="349"/>
      <c r="BL547" s="349"/>
      <c r="BM547" s="349"/>
      <c r="BN547" s="349"/>
      <c r="BO547" s="349"/>
      <c r="BP547" s="349"/>
      <c r="BQ547" s="349"/>
      <c r="BR547" s="349"/>
      <c r="BS547" s="349"/>
    </row>
    <row r="548" spans="1:71" x14ac:dyDescent="0.3">
      <c r="A548" s="349"/>
      <c r="B548" s="349"/>
      <c r="C548" s="349"/>
      <c r="D548" s="349"/>
      <c r="E548" s="349"/>
      <c r="F548" s="349"/>
      <c r="G548" s="349"/>
      <c r="H548" s="349"/>
      <c r="I548" s="349"/>
      <c r="J548" s="349"/>
      <c r="K548" s="349"/>
      <c r="L548" s="349"/>
      <c r="M548" s="349"/>
      <c r="N548" s="349"/>
      <c r="O548" s="349"/>
      <c r="P548" s="349"/>
      <c r="Q548" s="349"/>
      <c r="R548" s="349"/>
      <c r="S548" s="349"/>
      <c r="T548" s="349"/>
      <c r="U548" s="349"/>
      <c r="V548" s="349"/>
      <c r="W548" s="349"/>
      <c r="X548" s="349"/>
      <c r="Y548" s="349"/>
      <c r="Z548" s="349"/>
      <c r="AA548" s="349"/>
      <c r="AB548" s="349"/>
      <c r="AC548" s="349"/>
      <c r="AD548" s="349"/>
      <c r="AE548" s="349"/>
      <c r="AF548" s="349"/>
      <c r="AG548" s="349"/>
      <c r="AH548" s="349"/>
      <c r="AI548" s="349"/>
      <c r="AJ548" s="349"/>
      <c r="AK548" s="349"/>
      <c r="AL548" s="349"/>
      <c r="AM548" s="349"/>
      <c r="AN548" s="349"/>
      <c r="AO548" s="349"/>
      <c r="AP548" s="349"/>
      <c r="AQ548" s="349"/>
      <c r="AR548" s="349"/>
      <c r="AS548" s="349"/>
      <c r="AT548" s="349"/>
      <c r="AU548" s="349"/>
      <c r="AV548" s="349"/>
      <c r="AW548" s="349"/>
      <c r="AX548" s="349"/>
      <c r="AY548" s="349"/>
      <c r="AZ548" s="349"/>
      <c r="BA548" s="349"/>
      <c r="BB548" s="349"/>
      <c r="BC548" s="349"/>
      <c r="BD548" s="349"/>
      <c r="BE548" s="349"/>
      <c r="BF548" s="349"/>
      <c r="BG548" s="349"/>
      <c r="BH548" s="349"/>
      <c r="BI548" s="349"/>
      <c r="BJ548" s="349"/>
      <c r="BK548" s="349"/>
      <c r="BL548" s="349"/>
      <c r="BM548" s="349"/>
      <c r="BN548" s="349"/>
      <c r="BO548" s="349"/>
      <c r="BP548" s="349"/>
      <c r="BQ548" s="349"/>
      <c r="BR548" s="349"/>
      <c r="BS548" s="349"/>
    </row>
    <row r="549" spans="1:71" x14ac:dyDescent="0.3">
      <c r="A549" s="349"/>
      <c r="B549" s="349"/>
      <c r="C549" s="349"/>
      <c r="D549" s="349"/>
      <c r="E549" s="349"/>
      <c r="F549" s="349"/>
      <c r="G549" s="349"/>
      <c r="H549" s="349"/>
      <c r="I549" s="349"/>
      <c r="J549" s="349"/>
      <c r="K549" s="349"/>
      <c r="L549" s="349"/>
      <c r="M549" s="349"/>
      <c r="N549" s="349"/>
      <c r="O549" s="349"/>
      <c r="P549" s="349"/>
      <c r="Q549" s="349"/>
      <c r="R549" s="349"/>
      <c r="S549" s="349"/>
      <c r="T549" s="349"/>
      <c r="U549" s="349"/>
      <c r="V549" s="349"/>
      <c r="W549" s="349"/>
      <c r="X549" s="349"/>
      <c r="Y549" s="349"/>
      <c r="Z549" s="349"/>
      <c r="AA549" s="349"/>
      <c r="AB549" s="349"/>
      <c r="AC549" s="349"/>
      <c r="AD549" s="349"/>
      <c r="AE549" s="349"/>
      <c r="AF549" s="349"/>
      <c r="AG549" s="349"/>
      <c r="AH549" s="349"/>
      <c r="AI549" s="349"/>
      <c r="AJ549" s="349"/>
      <c r="AK549" s="349"/>
      <c r="AL549" s="349"/>
      <c r="AM549" s="349"/>
      <c r="AN549" s="349"/>
      <c r="AO549" s="349"/>
      <c r="AP549" s="349"/>
      <c r="AQ549" s="349"/>
      <c r="AR549" s="349"/>
      <c r="AS549" s="349"/>
      <c r="AT549" s="349"/>
      <c r="AU549" s="349"/>
      <c r="AV549" s="349"/>
      <c r="AW549" s="349"/>
      <c r="AX549" s="349"/>
      <c r="AY549" s="349"/>
      <c r="AZ549" s="349"/>
      <c r="BA549" s="349"/>
      <c r="BB549" s="349"/>
      <c r="BC549" s="349"/>
      <c r="BD549" s="349"/>
      <c r="BE549" s="349"/>
      <c r="BF549" s="349"/>
      <c r="BG549" s="349"/>
      <c r="BH549" s="349"/>
      <c r="BI549" s="349"/>
      <c r="BJ549" s="349"/>
      <c r="BK549" s="349"/>
      <c r="BL549" s="349"/>
      <c r="BM549" s="349"/>
      <c r="BN549" s="349"/>
      <c r="BO549" s="349"/>
      <c r="BP549" s="349"/>
      <c r="BQ549" s="349"/>
      <c r="BR549" s="349"/>
      <c r="BS549" s="349"/>
    </row>
    <row r="550" spans="1:71" x14ac:dyDescent="0.3">
      <c r="A550" s="349"/>
      <c r="B550" s="349"/>
      <c r="C550" s="349"/>
      <c r="D550" s="349"/>
      <c r="E550" s="349"/>
      <c r="F550" s="349"/>
      <c r="G550" s="349"/>
      <c r="H550" s="349"/>
      <c r="I550" s="349"/>
      <c r="J550" s="349"/>
      <c r="K550" s="349"/>
      <c r="L550" s="349"/>
      <c r="M550" s="349"/>
      <c r="N550" s="349"/>
      <c r="O550" s="349"/>
      <c r="P550" s="349"/>
      <c r="Q550" s="349"/>
      <c r="R550" s="349"/>
      <c r="S550" s="349"/>
      <c r="T550" s="349"/>
      <c r="U550" s="349"/>
      <c r="V550" s="349"/>
      <c r="W550" s="349"/>
      <c r="X550" s="349"/>
      <c r="Y550" s="349"/>
      <c r="Z550" s="349"/>
      <c r="AA550" s="349"/>
      <c r="AB550" s="349"/>
      <c r="AC550" s="349"/>
      <c r="AD550" s="349"/>
      <c r="AE550" s="349"/>
      <c r="AF550" s="349"/>
      <c r="AG550" s="349"/>
      <c r="AH550" s="349"/>
      <c r="AI550" s="349"/>
      <c r="AJ550" s="349"/>
      <c r="AK550" s="349"/>
      <c r="AL550" s="349"/>
      <c r="AM550" s="349"/>
      <c r="AN550" s="349"/>
      <c r="AO550" s="349"/>
      <c r="AP550" s="349"/>
      <c r="AQ550" s="349"/>
      <c r="AR550" s="349"/>
      <c r="AS550" s="349"/>
      <c r="AT550" s="349"/>
      <c r="AU550" s="349"/>
      <c r="AV550" s="349"/>
      <c r="AW550" s="349"/>
      <c r="AX550" s="349"/>
      <c r="AY550" s="349"/>
      <c r="AZ550" s="349"/>
      <c r="BA550" s="349"/>
      <c r="BB550" s="349"/>
      <c r="BC550" s="349"/>
      <c r="BD550" s="349"/>
      <c r="BE550" s="349"/>
      <c r="BF550" s="349"/>
      <c r="BG550" s="349"/>
      <c r="BH550" s="349"/>
      <c r="BI550" s="349"/>
      <c r="BJ550" s="349"/>
      <c r="BK550" s="349"/>
      <c r="BL550" s="349"/>
      <c r="BM550" s="349"/>
      <c r="BN550" s="349"/>
      <c r="BO550" s="349"/>
      <c r="BP550" s="349"/>
      <c r="BQ550" s="349"/>
      <c r="BR550" s="349"/>
      <c r="BS550" s="349"/>
    </row>
    <row r="551" spans="1:71" x14ac:dyDescent="0.3">
      <c r="A551" s="349"/>
      <c r="B551" s="349"/>
      <c r="C551" s="349"/>
      <c r="D551" s="349"/>
      <c r="E551" s="349"/>
      <c r="F551" s="349"/>
      <c r="G551" s="349"/>
      <c r="H551" s="349"/>
      <c r="I551" s="349"/>
      <c r="J551" s="349"/>
      <c r="K551" s="349"/>
      <c r="L551" s="349"/>
      <c r="M551" s="349"/>
      <c r="N551" s="349"/>
      <c r="O551" s="349"/>
      <c r="P551" s="349"/>
      <c r="Q551" s="349"/>
      <c r="R551" s="349"/>
      <c r="S551" s="349"/>
      <c r="T551" s="349"/>
      <c r="U551" s="349"/>
      <c r="V551" s="349"/>
      <c r="W551" s="349"/>
      <c r="X551" s="349"/>
      <c r="Y551" s="349"/>
      <c r="Z551" s="349"/>
      <c r="AA551" s="349"/>
      <c r="AB551" s="349"/>
      <c r="AC551" s="349"/>
      <c r="AD551" s="349"/>
      <c r="AE551" s="349"/>
      <c r="AF551" s="349"/>
      <c r="AG551" s="349"/>
      <c r="AH551" s="349"/>
      <c r="AI551" s="349"/>
      <c r="AJ551" s="349"/>
      <c r="AK551" s="349"/>
      <c r="AL551" s="349"/>
      <c r="AM551" s="349"/>
      <c r="AN551" s="349"/>
      <c r="AO551" s="349"/>
      <c r="AP551" s="349"/>
      <c r="AQ551" s="349"/>
      <c r="AR551" s="349"/>
      <c r="AS551" s="349"/>
      <c r="AT551" s="349"/>
      <c r="AU551" s="349"/>
      <c r="AV551" s="349"/>
      <c r="AW551" s="349"/>
      <c r="AX551" s="349"/>
      <c r="AY551" s="349"/>
      <c r="AZ551" s="349"/>
      <c r="BA551" s="349"/>
      <c r="BB551" s="349"/>
      <c r="BC551" s="349"/>
      <c r="BD551" s="349"/>
      <c r="BE551" s="349"/>
      <c r="BF551" s="349"/>
      <c r="BG551" s="349"/>
      <c r="BH551" s="349"/>
      <c r="BI551" s="349"/>
      <c r="BJ551" s="349"/>
      <c r="BK551" s="349"/>
      <c r="BL551" s="349"/>
      <c r="BM551" s="349"/>
      <c r="BN551" s="349"/>
      <c r="BO551" s="349"/>
      <c r="BP551" s="349"/>
      <c r="BQ551" s="349"/>
      <c r="BR551" s="349"/>
      <c r="BS551" s="349"/>
    </row>
    <row r="552" spans="1:71" x14ac:dyDescent="0.3">
      <c r="A552" s="349"/>
      <c r="B552" s="349"/>
      <c r="C552" s="349"/>
      <c r="D552" s="349"/>
      <c r="E552" s="349"/>
      <c r="F552" s="349"/>
      <c r="G552" s="349"/>
      <c r="H552" s="349"/>
      <c r="I552" s="349"/>
      <c r="J552" s="349"/>
      <c r="K552" s="349"/>
      <c r="L552" s="349"/>
      <c r="M552" s="349"/>
      <c r="N552" s="349"/>
      <c r="O552" s="349"/>
      <c r="P552" s="349"/>
      <c r="Q552" s="349"/>
      <c r="R552" s="349"/>
      <c r="S552" s="349"/>
      <c r="T552" s="349"/>
      <c r="U552" s="349"/>
      <c r="V552" s="349"/>
      <c r="W552" s="349"/>
      <c r="X552" s="349"/>
      <c r="Y552" s="349"/>
      <c r="Z552" s="349"/>
      <c r="AA552" s="349"/>
      <c r="AB552" s="349"/>
      <c r="AC552" s="349"/>
      <c r="AD552" s="349"/>
      <c r="AE552" s="349"/>
      <c r="AF552" s="349"/>
      <c r="AG552" s="349"/>
      <c r="AH552" s="349"/>
      <c r="AI552" s="349"/>
      <c r="AJ552" s="349"/>
      <c r="AK552" s="349"/>
      <c r="AL552" s="349"/>
      <c r="AM552" s="349"/>
      <c r="AN552" s="349"/>
      <c r="AO552" s="349"/>
      <c r="AP552" s="349"/>
      <c r="AQ552" s="349"/>
      <c r="AR552" s="349"/>
      <c r="AS552" s="349"/>
      <c r="AT552" s="349"/>
      <c r="AU552" s="349"/>
      <c r="AV552" s="349"/>
      <c r="AW552" s="349"/>
      <c r="AX552" s="349"/>
      <c r="AY552" s="349"/>
      <c r="AZ552" s="349"/>
      <c r="BA552" s="349"/>
      <c r="BB552" s="349"/>
      <c r="BC552" s="349"/>
      <c r="BD552" s="349"/>
      <c r="BE552" s="349"/>
      <c r="BF552" s="349"/>
      <c r="BG552" s="349"/>
      <c r="BH552" s="349"/>
      <c r="BI552" s="349"/>
      <c r="BJ552" s="349"/>
      <c r="BK552" s="349"/>
      <c r="BL552" s="349"/>
      <c r="BM552" s="349"/>
      <c r="BN552" s="349"/>
      <c r="BO552" s="349"/>
      <c r="BP552" s="349"/>
      <c r="BQ552" s="349"/>
      <c r="BR552" s="349"/>
      <c r="BS552" s="349"/>
    </row>
    <row r="553" spans="1:71" x14ac:dyDescent="0.3">
      <c r="A553" s="349"/>
      <c r="B553" s="349"/>
      <c r="C553" s="349"/>
      <c r="D553" s="349"/>
      <c r="E553" s="349"/>
      <c r="F553" s="349"/>
      <c r="G553" s="349"/>
      <c r="H553" s="349"/>
      <c r="I553" s="349"/>
      <c r="J553" s="349"/>
      <c r="K553" s="349"/>
      <c r="L553" s="349"/>
      <c r="M553" s="349"/>
      <c r="N553" s="349"/>
      <c r="O553" s="349"/>
      <c r="P553" s="349"/>
      <c r="Q553" s="349"/>
      <c r="R553" s="349"/>
      <c r="S553" s="349"/>
      <c r="T553" s="349"/>
      <c r="U553" s="349"/>
      <c r="V553" s="349"/>
      <c r="W553" s="349"/>
      <c r="X553" s="349"/>
      <c r="Y553" s="349"/>
      <c r="Z553" s="349"/>
      <c r="AA553" s="349"/>
      <c r="AB553" s="349"/>
      <c r="AC553" s="349"/>
      <c r="AD553" s="349"/>
      <c r="AE553" s="349"/>
      <c r="AF553" s="349"/>
      <c r="AG553" s="349"/>
      <c r="AH553" s="349"/>
      <c r="AI553" s="349"/>
      <c r="AJ553" s="349"/>
      <c r="AK553" s="349"/>
      <c r="AL553" s="349"/>
      <c r="AM553" s="349"/>
      <c r="AN553" s="349"/>
      <c r="AO553" s="349"/>
      <c r="AP553" s="349"/>
      <c r="AQ553" s="349"/>
      <c r="AR553" s="349"/>
      <c r="AS553" s="349"/>
      <c r="AT553" s="349"/>
      <c r="AU553" s="349"/>
      <c r="AV553" s="349"/>
      <c r="AW553" s="349"/>
      <c r="AX553" s="349"/>
      <c r="AY553" s="349"/>
      <c r="AZ553" s="349"/>
      <c r="BA553" s="349"/>
      <c r="BB553" s="349"/>
      <c r="BC553" s="349"/>
      <c r="BD553" s="349"/>
      <c r="BE553" s="349"/>
      <c r="BF553" s="349"/>
      <c r="BG553" s="349"/>
      <c r="BH553" s="349"/>
      <c r="BI553" s="349"/>
      <c r="BJ553" s="349"/>
      <c r="BK553" s="349"/>
      <c r="BL553" s="349"/>
      <c r="BM553" s="349"/>
      <c r="BN553" s="349"/>
      <c r="BO553" s="349"/>
      <c r="BP553" s="349"/>
      <c r="BQ553" s="349"/>
      <c r="BR553" s="349"/>
      <c r="BS553" s="349"/>
    </row>
    <row r="554" spans="1:71" x14ac:dyDescent="0.3">
      <c r="A554" s="349"/>
      <c r="B554" s="349"/>
      <c r="C554" s="349"/>
      <c r="D554" s="349"/>
      <c r="E554" s="349"/>
      <c r="F554" s="349"/>
      <c r="G554" s="349"/>
      <c r="H554" s="349"/>
      <c r="I554" s="349"/>
      <c r="J554" s="349"/>
      <c r="K554" s="349"/>
      <c r="L554" s="349"/>
      <c r="M554" s="349"/>
      <c r="N554" s="349"/>
      <c r="O554" s="349"/>
      <c r="P554" s="349"/>
      <c r="Q554" s="349"/>
      <c r="R554" s="349"/>
      <c r="S554" s="349"/>
      <c r="T554" s="349"/>
      <c r="U554" s="349"/>
      <c r="V554" s="349"/>
      <c r="W554" s="349"/>
      <c r="X554" s="349"/>
      <c r="Y554" s="349"/>
      <c r="Z554" s="349"/>
      <c r="AA554" s="349"/>
      <c r="AB554" s="349"/>
      <c r="AC554" s="349"/>
      <c r="AD554" s="349"/>
      <c r="AE554" s="349"/>
      <c r="AF554" s="349"/>
      <c r="AG554" s="349"/>
      <c r="AH554" s="349"/>
      <c r="AI554" s="349"/>
      <c r="AJ554" s="349"/>
      <c r="AK554" s="349"/>
      <c r="AL554" s="349"/>
      <c r="AM554" s="349"/>
      <c r="AN554" s="349"/>
      <c r="AO554" s="349"/>
      <c r="AP554" s="349"/>
      <c r="AQ554" s="349"/>
      <c r="AR554" s="349"/>
      <c r="AS554" s="349"/>
      <c r="AT554" s="349"/>
      <c r="AU554" s="349"/>
      <c r="AV554" s="349"/>
      <c r="AW554" s="349"/>
      <c r="AX554" s="349"/>
      <c r="AY554" s="349"/>
      <c r="AZ554" s="349"/>
      <c r="BA554" s="349"/>
      <c r="BB554" s="349"/>
      <c r="BC554" s="349"/>
      <c r="BD554" s="349"/>
      <c r="BE554" s="349"/>
      <c r="BF554" s="349"/>
      <c r="BG554" s="349"/>
      <c r="BH554" s="349"/>
      <c r="BI554" s="349"/>
      <c r="BJ554" s="349"/>
      <c r="BK554" s="349"/>
      <c r="BL554" s="349"/>
      <c r="BM554" s="349"/>
      <c r="BN554" s="349"/>
      <c r="BO554" s="349"/>
      <c r="BP554" s="349"/>
      <c r="BQ554" s="349"/>
      <c r="BR554" s="349"/>
      <c r="BS554" s="349"/>
    </row>
    <row r="555" spans="1:71" x14ac:dyDescent="0.3">
      <c r="A555" s="349"/>
      <c r="B555" s="349"/>
      <c r="C555" s="349"/>
      <c r="D555" s="349"/>
      <c r="E555" s="349"/>
      <c r="F555" s="349"/>
      <c r="G555" s="349"/>
      <c r="H555" s="349"/>
      <c r="I555" s="349"/>
      <c r="J555" s="349"/>
      <c r="K555" s="349"/>
      <c r="L555" s="349"/>
      <c r="M555" s="349"/>
      <c r="N555" s="349"/>
      <c r="O555" s="349"/>
      <c r="P555" s="349"/>
      <c r="Q555" s="349"/>
      <c r="R555" s="349"/>
      <c r="S555" s="349"/>
      <c r="T555" s="349"/>
      <c r="U555" s="349"/>
      <c r="V555" s="349"/>
      <c r="W555" s="349"/>
      <c r="X555" s="349"/>
      <c r="Y555" s="349"/>
      <c r="Z555" s="349"/>
      <c r="AA555" s="349"/>
      <c r="AB555" s="349"/>
      <c r="AC555" s="349"/>
      <c r="AD555" s="349"/>
      <c r="AE555" s="349"/>
      <c r="AF555" s="349"/>
      <c r="AG555" s="349"/>
      <c r="AH555" s="349"/>
      <c r="AI555" s="349"/>
      <c r="AJ555" s="349"/>
      <c r="AK555" s="349"/>
      <c r="AL555" s="349"/>
      <c r="AM555" s="349"/>
      <c r="AN555" s="349"/>
      <c r="AO555" s="349"/>
      <c r="AP555" s="349"/>
      <c r="AQ555" s="349"/>
      <c r="AR555" s="349"/>
      <c r="AS555" s="349"/>
      <c r="AT555" s="349"/>
      <c r="AU555" s="349"/>
      <c r="AV555" s="349"/>
      <c r="AW555" s="349"/>
      <c r="AX555" s="349"/>
      <c r="AY555" s="349"/>
      <c r="AZ555" s="349"/>
      <c r="BA555" s="349"/>
      <c r="BB555" s="349"/>
      <c r="BC555" s="349"/>
      <c r="BD555" s="349"/>
      <c r="BE555" s="349"/>
      <c r="BF555" s="349"/>
      <c r="BG555" s="349"/>
      <c r="BH555" s="349"/>
      <c r="BI555" s="349"/>
      <c r="BJ555" s="349"/>
      <c r="BK555" s="349"/>
      <c r="BL555" s="349"/>
      <c r="BM555" s="349"/>
      <c r="BN555" s="349"/>
      <c r="BO555" s="349"/>
      <c r="BP555" s="349"/>
      <c r="BQ555" s="349"/>
      <c r="BR555" s="349"/>
      <c r="BS555" s="349"/>
    </row>
    <row r="556" spans="1:71" x14ac:dyDescent="0.3">
      <c r="A556" s="349"/>
      <c r="B556" s="349"/>
      <c r="C556" s="349"/>
      <c r="D556" s="349"/>
      <c r="E556" s="349"/>
      <c r="F556" s="349"/>
      <c r="G556" s="349"/>
      <c r="H556" s="349"/>
      <c r="I556" s="349"/>
      <c r="J556" s="349"/>
      <c r="K556" s="349"/>
      <c r="L556" s="349"/>
      <c r="M556" s="349"/>
      <c r="N556" s="349"/>
      <c r="O556" s="349"/>
      <c r="P556" s="349"/>
      <c r="Q556" s="349"/>
      <c r="R556" s="349"/>
      <c r="S556" s="349"/>
      <c r="T556" s="349"/>
      <c r="U556" s="349"/>
      <c r="V556" s="349"/>
      <c r="W556" s="349"/>
      <c r="X556" s="349"/>
      <c r="Y556" s="349"/>
      <c r="Z556" s="349"/>
      <c r="AA556" s="349"/>
      <c r="AB556" s="349"/>
      <c r="AC556" s="349"/>
      <c r="AD556" s="349"/>
      <c r="AE556" s="349"/>
      <c r="AF556" s="349"/>
      <c r="AG556" s="349"/>
      <c r="AH556" s="349"/>
      <c r="AI556" s="349"/>
      <c r="AJ556" s="349"/>
      <c r="AK556" s="349"/>
      <c r="AL556" s="349"/>
      <c r="AM556" s="349"/>
      <c r="AN556" s="349"/>
      <c r="AO556" s="349"/>
      <c r="AP556" s="349"/>
      <c r="AQ556" s="349"/>
      <c r="AR556" s="349"/>
      <c r="AS556" s="349"/>
      <c r="AT556" s="349"/>
      <c r="AU556" s="349"/>
      <c r="AV556" s="349"/>
      <c r="AW556" s="349"/>
      <c r="AX556" s="349"/>
      <c r="AY556" s="349"/>
      <c r="AZ556" s="349"/>
      <c r="BA556" s="349"/>
      <c r="BB556" s="349"/>
      <c r="BC556" s="349"/>
      <c r="BD556" s="349"/>
      <c r="BE556" s="349"/>
      <c r="BF556" s="349"/>
      <c r="BG556" s="349"/>
      <c r="BH556" s="349"/>
      <c r="BI556" s="349"/>
      <c r="BJ556" s="349"/>
      <c r="BK556" s="349"/>
      <c r="BL556" s="349"/>
      <c r="BM556" s="349"/>
      <c r="BN556" s="349"/>
      <c r="BO556" s="349"/>
      <c r="BP556" s="349"/>
      <c r="BQ556" s="349"/>
      <c r="BR556" s="349"/>
      <c r="BS556" s="349"/>
    </row>
    <row r="557" spans="1:71" x14ac:dyDescent="0.3">
      <c r="A557" s="349"/>
      <c r="B557" s="349"/>
      <c r="C557" s="349"/>
      <c r="D557" s="349"/>
      <c r="E557" s="349"/>
      <c r="F557" s="349"/>
      <c r="G557" s="349"/>
      <c r="H557" s="349"/>
      <c r="I557" s="349"/>
      <c r="J557" s="349"/>
      <c r="K557" s="349"/>
      <c r="L557" s="349"/>
      <c r="M557" s="349"/>
      <c r="N557" s="349"/>
      <c r="O557" s="349"/>
      <c r="P557" s="349"/>
      <c r="Q557" s="349"/>
      <c r="R557" s="349"/>
      <c r="S557" s="349"/>
      <c r="T557" s="349"/>
      <c r="U557" s="349"/>
      <c r="V557" s="349"/>
      <c r="W557" s="349"/>
      <c r="X557" s="349"/>
      <c r="Y557" s="349"/>
      <c r="Z557" s="349"/>
      <c r="AA557" s="349"/>
      <c r="AB557" s="349"/>
      <c r="AC557" s="349"/>
      <c r="AD557" s="349"/>
      <c r="AE557" s="349"/>
      <c r="AF557" s="349"/>
      <c r="AG557" s="349"/>
      <c r="AH557" s="349"/>
      <c r="AI557" s="349"/>
      <c r="AJ557" s="349"/>
      <c r="AK557" s="349"/>
      <c r="AL557" s="349"/>
      <c r="AM557" s="349"/>
      <c r="AN557" s="349"/>
      <c r="AO557" s="349"/>
      <c r="AP557" s="349"/>
      <c r="AQ557" s="349"/>
      <c r="AR557" s="349"/>
      <c r="AS557" s="349"/>
      <c r="AT557" s="349"/>
      <c r="AU557" s="349"/>
      <c r="AV557" s="349"/>
      <c r="AW557" s="349"/>
      <c r="AX557" s="349"/>
      <c r="AY557" s="349"/>
      <c r="AZ557" s="349"/>
      <c r="BA557" s="349"/>
      <c r="BB557" s="349"/>
      <c r="BC557" s="349"/>
      <c r="BD557" s="349"/>
      <c r="BE557" s="349"/>
      <c r="BF557" s="349"/>
      <c r="BG557" s="349"/>
      <c r="BH557" s="349"/>
      <c r="BI557" s="349"/>
      <c r="BJ557" s="349"/>
      <c r="BK557" s="349"/>
      <c r="BL557" s="349"/>
      <c r="BM557" s="349"/>
      <c r="BN557" s="349"/>
      <c r="BO557" s="349"/>
      <c r="BP557" s="349"/>
      <c r="BQ557" s="349"/>
      <c r="BR557" s="349"/>
      <c r="BS557" s="349"/>
    </row>
    <row r="558" spans="1:71" x14ac:dyDescent="0.3">
      <c r="A558" s="349"/>
      <c r="B558" s="349"/>
      <c r="C558" s="349"/>
      <c r="D558" s="349"/>
      <c r="E558" s="349"/>
      <c r="F558" s="349"/>
      <c r="G558" s="349"/>
      <c r="H558" s="349"/>
      <c r="I558" s="349"/>
      <c r="J558" s="349"/>
      <c r="K558" s="349"/>
      <c r="L558" s="349"/>
      <c r="M558" s="349"/>
      <c r="N558" s="349"/>
      <c r="O558" s="349"/>
      <c r="P558" s="349"/>
      <c r="Q558" s="349"/>
      <c r="R558" s="349"/>
      <c r="S558" s="349"/>
      <c r="T558" s="349"/>
      <c r="U558" s="349"/>
      <c r="V558" s="349"/>
      <c r="W558" s="349"/>
      <c r="X558" s="349"/>
      <c r="Y558" s="349"/>
      <c r="Z558" s="349"/>
      <c r="AA558" s="349"/>
      <c r="AB558" s="349"/>
      <c r="AC558" s="349"/>
      <c r="AD558" s="349"/>
      <c r="AE558" s="349"/>
      <c r="AF558" s="349"/>
      <c r="AG558" s="349"/>
      <c r="AH558" s="349"/>
      <c r="AI558" s="349"/>
      <c r="AJ558" s="349"/>
      <c r="AK558" s="349"/>
      <c r="AL558" s="349"/>
      <c r="AM558" s="349"/>
      <c r="AN558" s="349"/>
      <c r="AO558" s="349"/>
      <c r="AP558" s="349"/>
      <c r="AQ558" s="349"/>
      <c r="AR558" s="349"/>
      <c r="AS558" s="349"/>
      <c r="AT558" s="349"/>
      <c r="AU558" s="349"/>
      <c r="AV558" s="349"/>
      <c r="AW558" s="349"/>
      <c r="AX558" s="349"/>
      <c r="AY558" s="349"/>
      <c r="AZ558" s="349"/>
      <c r="BA558" s="349"/>
      <c r="BB558" s="349"/>
      <c r="BC558" s="349"/>
      <c r="BD558" s="349"/>
      <c r="BE558" s="349"/>
      <c r="BF558" s="349"/>
      <c r="BG558" s="349"/>
      <c r="BH558" s="349"/>
      <c r="BI558" s="349"/>
      <c r="BJ558" s="349"/>
      <c r="BK558" s="349"/>
      <c r="BL558" s="349"/>
      <c r="BM558" s="349"/>
      <c r="BN558" s="349"/>
      <c r="BO558" s="349"/>
      <c r="BP558" s="349"/>
      <c r="BQ558" s="349"/>
      <c r="BR558" s="349"/>
      <c r="BS558" s="349"/>
    </row>
    <row r="559" spans="1:71" x14ac:dyDescent="0.3">
      <c r="A559" s="349"/>
      <c r="B559" s="349"/>
      <c r="C559" s="349"/>
      <c r="D559" s="349"/>
      <c r="E559" s="349"/>
      <c r="F559" s="349"/>
      <c r="G559" s="349"/>
      <c r="H559" s="349"/>
      <c r="I559" s="349"/>
      <c r="J559" s="349"/>
      <c r="K559" s="349"/>
      <c r="L559" s="349"/>
      <c r="M559" s="349"/>
      <c r="N559" s="349"/>
      <c r="O559" s="349"/>
      <c r="P559" s="349"/>
      <c r="Q559" s="349"/>
      <c r="R559" s="349"/>
      <c r="S559" s="349"/>
      <c r="T559" s="349"/>
      <c r="U559" s="349"/>
      <c r="V559" s="349"/>
      <c r="W559" s="349"/>
      <c r="X559" s="349"/>
      <c r="Y559" s="349"/>
      <c r="Z559" s="349"/>
      <c r="AA559" s="349"/>
      <c r="AB559" s="349"/>
      <c r="AC559" s="349"/>
      <c r="AD559" s="349"/>
      <c r="AE559" s="349"/>
      <c r="AF559" s="349"/>
      <c r="AG559" s="349"/>
      <c r="AH559" s="349"/>
      <c r="AI559" s="349"/>
      <c r="AJ559" s="349"/>
      <c r="AK559" s="349"/>
      <c r="AL559" s="349"/>
      <c r="AM559" s="349"/>
      <c r="AN559" s="349"/>
      <c r="AO559" s="349"/>
      <c r="AP559" s="349"/>
      <c r="AQ559" s="349"/>
      <c r="AR559" s="349"/>
      <c r="AS559" s="349"/>
      <c r="AT559" s="349"/>
      <c r="AU559" s="349"/>
      <c r="AV559" s="349"/>
      <c r="AW559" s="349"/>
      <c r="AX559" s="349"/>
      <c r="AY559" s="349"/>
      <c r="AZ559" s="349"/>
      <c r="BA559" s="349"/>
      <c r="BB559" s="349"/>
      <c r="BC559" s="349"/>
      <c r="BD559" s="349"/>
      <c r="BE559" s="349"/>
      <c r="BF559" s="349"/>
      <c r="BG559" s="349"/>
      <c r="BH559" s="349"/>
      <c r="BI559" s="349"/>
      <c r="BJ559" s="349"/>
      <c r="BK559" s="349"/>
      <c r="BL559" s="349"/>
      <c r="BM559" s="349"/>
      <c r="BN559" s="349"/>
      <c r="BO559" s="349"/>
      <c r="BP559" s="349"/>
      <c r="BQ559" s="349"/>
      <c r="BR559" s="349"/>
      <c r="BS559" s="349"/>
    </row>
    <row r="560" spans="1:71" x14ac:dyDescent="0.3">
      <c r="A560" s="349"/>
      <c r="B560" s="349"/>
      <c r="C560" s="349"/>
      <c r="D560" s="349"/>
      <c r="E560" s="349"/>
      <c r="F560" s="349"/>
      <c r="G560" s="349"/>
      <c r="H560" s="349"/>
      <c r="I560" s="349"/>
      <c r="J560" s="349"/>
      <c r="K560" s="349"/>
      <c r="L560" s="349"/>
      <c r="M560" s="349"/>
      <c r="N560" s="349"/>
      <c r="O560" s="349"/>
      <c r="P560" s="349"/>
      <c r="Q560" s="349"/>
      <c r="R560" s="349"/>
      <c r="S560" s="349"/>
      <c r="T560" s="349"/>
      <c r="U560" s="349"/>
      <c r="V560" s="349"/>
      <c r="W560" s="349"/>
      <c r="X560" s="349"/>
      <c r="Y560" s="349"/>
      <c r="Z560" s="349"/>
      <c r="AA560" s="349"/>
      <c r="AB560" s="349"/>
      <c r="AC560" s="349"/>
      <c r="AD560" s="349"/>
      <c r="AE560" s="349"/>
      <c r="AF560" s="349"/>
      <c r="AG560" s="349"/>
      <c r="AH560" s="349"/>
      <c r="AI560" s="349"/>
      <c r="AJ560" s="349"/>
      <c r="AK560" s="349"/>
      <c r="AL560" s="349"/>
      <c r="AM560" s="349"/>
      <c r="AN560" s="349"/>
      <c r="AO560" s="349"/>
      <c r="AP560" s="349"/>
      <c r="AQ560" s="349"/>
      <c r="AR560" s="349"/>
      <c r="AS560" s="349"/>
      <c r="AT560" s="349"/>
      <c r="AU560" s="349"/>
      <c r="AV560" s="349"/>
      <c r="AW560" s="349"/>
      <c r="AX560" s="349"/>
      <c r="AY560" s="349"/>
      <c r="AZ560" s="349"/>
      <c r="BA560" s="349"/>
      <c r="BB560" s="349"/>
      <c r="BC560" s="349"/>
      <c r="BD560" s="349"/>
      <c r="BE560" s="349"/>
      <c r="BF560" s="349"/>
      <c r="BG560" s="349"/>
      <c r="BH560" s="349"/>
      <c r="BI560" s="349"/>
      <c r="BJ560" s="349"/>
      <c r="BK560" s="349"/>
      <c r="BL560" s="349"/>
      <c r="BM560" s="349"/>
      <c r="BN560" s="349"/>
      <c r="BO560" s="349"/>
      <c r="BP560" s="349"/>
      <c r="BQ560" s="349"/>
      <c r="BR560" s="349"/>
      <c r="BS560" s="349"/>
    </row>
    <row r="561" spans="1:71" x14ac:dyDescent="0.3">
      <c r="A561" s="349"/>
      <c r="B561" s="349"/>
      <c r="C561" s="349"/>
      <c r="D561" s="349"/>
      <c r="E561" s="349"/>
      <c r="F561" s="349"/>
      <c r="G561" s="349"/>
      <c r="H561" s="349"/>
      <c r="I561" s="349"/>
      <c r="J561" s="349"/>
      <c r="K561" s="349"/>
      <c r="L561" s="349"/>
      <c r="M561" s="349"/>
      <c r="N561" s="349"/>
      <c r="O561" s="349"/>
      <c r="P561" s="349"/>
      <c r="Q561" s="349"/>
      <c r="R561" s="349"/>
      <c r="S561" s="349"/>
      <c r="T561" s="349"/>
      <c r="U561" s="349"/>
      <c r="V561" s="349"/>
      <c r="W561" s="349"/>
      <c r="X561" s="349"/>
      <c r="Y561" s="349"/>
      <c r="Z561" s="349"/>
      <c r="AA561" s="349"/>
      <c r="AB561" s="349"/>
      <c r="AC561" s="349"/>
      <c r="AD561" s="349"/>
      <c r="AE561" s="349"/>
      <c r="AF561" s="349"/>
      <c r="AG561" s="349"/>
      <c r="AH561" s="349"/>
      <c r="AI561" s="349"/>
      <c r="AJ561" s="349"/>
      <c r="AK561" s="349"/>
      <c r="AL561" s="349"/>
      <c r="AM561" s="349"/>
      <c r="AN561" s="349"/>
      <c r="AO561" s="349"/>
      <c r="AP561" s="349"/>
      <c r="AQ561" s="349"/>
      <c r="AR561" s="349"/>
      <c r="AS561" s="349"/>
      <c r="AT561" s="349"/>
      <c r="AU561" s="349"/>
      <c r="AV561" s="349"/>
      <c r="AW561" s="349"/>
      <c r="AX561" s="349"/>
      <c r="AY561" s="349"/>
      <c r="AZ561" s="349"/>
      <c r="BA561" s="349"/>
      <c r="BB561" s="349"/>
      <c r="BC561" s="349"/>
      <c r="BD561" s="349"/>
      <c r="BE561" s="349"/>
      <c r="BF561" s="349"/>
      <c r="BG561" s="349"/>
      <c r="BH561" s="349"/>
      <c r="BI561" s="349"/>
      <c r="BJ561" s="349"/>
      <c r="BK561" s="349"/>
      <c r="BL561" s="349"/>
      <c r="BM561" s="349"/>
      <c r="BN561" s="349"/>
      <c r="BO561" s="349"/>
      <c r="BP561" s="349"/>
      <c r="BQ561" s="349"/>
      <c r="BR561" s="349"/>
      <c r="BS561" s="349"/>
    </row>
    <row r="562" spans="1:71" x14ac:dyDescent="0.3">
      <c r="A562" s="349"/>
      <c r="B562" s="349"/>
      <c r="C562" s="349"/>
      <c r="D562" s="349"/>
      <c r="E562" s="349"/>
      <c r="F562" s="349"/>
      <c r="G562" s="349"/>
      <c r="H562" s="349"/>
      <c r="I562" s="349"/>
      <c r="J562" s="349"/>
      <c r="K562" s="349"/>
      <c r="L562" s="349"/>
      <c r="M562" s="349"/>
      <c r="N562" s="349"/>
      <c r="O562" s="349"/>
      <c r="P562" s="349"/>
      <c r="Q562" s="349"/>
      <c r="R562" s="349"/>
      <c r="S562" s="349"/>
      <c r="T562" s="349"/>
      <c r="U562" s="349"/>
      <c r="V562" s="349"/>
      <c r="W562" s="349"/>
      <c r="X562" s="349"/>
      <c r="Y562" s="349"/>
      <c r="Z562" s="349"/>
      <c r="AA562" s="349"/>
      <c r="AB562" s="349"/>
      <c r="AC562" s="349"/>
      <c r="AD562" s="349"/>
      <c r="AE562" s="349"/>
      <c r="AF562" s="349"/>
      <c r="AG562" s="349"/>
      <c r="AH562" s="349"/>
      <c r="AI562" s="349"/>
      <c r="AJ562" s="349"/>
      <c r="AK562" s="349"/>
      <c r="AL562" s="349"/>
      <c r="AM562" s="349"/>
      <c r="AN562" s="349"/>
      <c r="AO562" s="349"/>
      <c r="AP562" s="349"/>
      <c r="AQ562" s="349"/>
      <c r="AR562" s="349"/>
      <c r="AS562" s="349"/>
      <c r="AT562" s="349"/>
      <c r="AU562" s="349"/>
      <c r="AV562" s="349"/>
      <c r="AW562" s="349"/>
      <c r="AX562" s="349"/>
      <c r="AY562" s="349"/>
      <c r="AZ562" s="349"/>
      <c r="BA562" s="349"/>
      <c r="BB562" s="349"/>
      <c r="BC562" s="349"/>
      <c r="BD562" s="349"/>
      <c r="BE562" s="349"/>
      <c r="BF562" s="349"/>
      <c r="BG562" s="349"/>
      <c r="BH562" s="349"/>
      <c r="BI562" s="349"/>
      <c r="BJ562" s="349"/>
      <c r="BK562" s="349"/>
      <c r="BL562" s="349"/>
      <c r="BM562" s="349"/>
      <c r="BN562" s="349"/>
      <c r="BO562" s="349"/>
      <c r="BP562" s="349"/>
      <c r="BQ562" s="349"/>
      <c r="BR562" s="349"/>
      <c r="BS562" s="349"/>
    </row>
    <row r="563" spans="1:71" x14ac:dyDescent="0.3">
      <c r="A563" s="349"/>
      <c r="B563" s="349"/>
      <c r="C563" s="349"/>
      <c r="D563" s="349"/>
      <c r="E563" s="349"/>
      <c r="F563" s="349"/>
      <c r="G563" s="349"/>
      <c r="H563" s="349"/>
      <c r="I563" s="349"/>
      <c r="J563" s="349"/>
      <c r="K563" s="349"/>
      <c r="L563" s="349"/>
      <c r="M563" s="349"/>
      <c r="N563" s="349"/>
      <c r="O563" s="349"/>
      <c r="P563" s="349"/>
      <c r="Q563" s="349"/>
      <c r="R563" s="349"/>
      <c r="S563" s="349"/>
      <c r="T563" s="349"/>
      <c r="U563" s="349"/>
      <c r="V563" s="349"/>
      <c r="W563" s="349"/>
      <c r="X563" s="349"/>
      <c r="Y563" s="349"/>
      <c r="Z563" s="349"/>
      <c r="AA563" s="349"/>
      <c r="AB563" s="349"/>
      <c r="AC563" s="349"/>
      <c r="AD563" s="349"/>
      <c r="AE563" s="349"/>
      <c r="AF563" s="349"/>
      <c r="AG563" s="349"/>
      <c r="AH563" s="349"/>
      <c r="AI563" s="349"/>
      <c r="AJ563" s="349"/>
      <c r="AK563" s="349"/>
      <c r="AL563" s="349"/>
      <c r="AM563" s="349"/>
      <c r="AN563" s="349"/>
      <c r="AO563" s="349"/>
      <c r="AP563" s="349"/>
      <c r="AQ563" s="349"/>
      <c r="AR563" s="349"/>
      <c r="AS563" s="349"/>
      <c r="AT563" s="349"/>
      <c r="AU563" s="349"/>
      <c r="AV563" s="349"/>
      <c r="AW563" s="349"/>
      <c r="AX563" s="349"/>
      <c r="AY563" s="349"/>
      <c r="AZ563" s="349"/>
      <c r="BA563" s="349"/>
      <c r="BB563" s="349"/>
      <c r="BC563" s="349"/>
      <c r="BD563" s="349"/>
      <c r="BE563" s="349"/>
      <c r="BF563" s="349"/>
      <c r="BG563" s="349"/>
      <c r="BH563" s="349"/>
      <c r="BI563" s="349"/>
      <c r="BJ563" s="349"/>
      <c r="BK563" s="349"/>
      <c r="BL563" s="349"/>
      <c r="BM563" s="349"/>
      <c r="BN563" s="349"/>
      <c r="BO563" s="349"/>
      <c r="BP563" s="349"/>
      <c r="BQ563" s="349"/>
      <c r="BR563" s="349"/>
      <c r="BS563" s="349"/>
    </row>
    <row r="564" spans="1:71" x14ac:dyDescent="0.3">
      <c r="A564" s="349"/>
      <c r="B564" s="349"/>
      <c r="C564" s="349"/>
      <c r="D564" s="349"/>
      <c r="E564" s="349"/>
      <c r="F564" s="349"/>
      <c r="G564" s="349"/>
      <c r="H564" s="349"/>
      <c r="I564" s="349"/>
      <c r="J564" s="349"/>
      <c r="K564" s="349"/>
      <c r="L564" s="349"/>
      <c r="M564" s="349"/>
      <c r="N564" s="349"/>
      <c r="O564" s="349"/>
      <c r="P564" s="349"/>
      <c r="Q564" s="349"/>
      <c r="R564" s="349"/>
      <c r="S564" s="349"/>
      <c r="T564" s="349"/>
      <c r="U564" s="349"/>
      <c r="V564" s="349"/>
      <c r="W564" s="349"/>
      <c r="X564" s="349"/>
      <c r="Y564" s="349"/>
      <c r="Z564" s="349"/>
      <c r="AA564" s="349"/>
      <c r="AB564" s="349"/>
      <c r="AC564" s="349"/>
      <c r="AD564" s="349"/>
      <c r="AE564" s="349"/>
      <c r="AF564" s="349"/>
      <c r="AG564" s="349"/>
      <c r="AH564" s="349"/>
      <c r="AI564" s="349"/>
      <c r="AJ564" s="349"/>
      <c r="AK564" s="349"/>
      <c r="AL564" s="349"/>
      <c r="AM564" s="349"/>
      <c r="AN564" s="349"/>
      <c r="AO564" s="349"/>
      <c r="AP564" s="349"/>
      <c r="AQ564" s="349"/>
      <c r="AR564" s="349"/>
      <c r="AS564" s="349"/>
      <c r="AT564" s="349"/>
      <c r="AU564" s="349"/>
      <c r="AV564" s="349"/>
      <c r="AW564" s="349"/>
      <c r="AX564" s="349"/>
      <c r="AY564" s="349"/>
      <c r="AZ564" s="349"/>
      <c r="BA564" s="349"/>
      <c r="BB564" s="349"/>
      <c r="BC564" s="349"/>
      <c r="BD564" s="349"/>
      <c r="BE564" s="349"/>
      <c r="BF564" s="349"/>
      <c r="BG564" s="349"/>
      <c r="BH564" s="349"/>
      <c r="BI564" s="349"/>
      <c r="BJ564" s="349"/>
      <c r="BK564" s="349"/>
      <c r="BL564" s="349"/>
      <c r="BM564" s="349"/>
      <c r="BN564" s="349"/>
      <c r="BO564" s="349"/>
      <c r="BP564" s="349"/>
      <c r="BQ564" s="349"/>
      <c r="BR564" s="349"/>
      <c r="BS564" s="349"/>
    </row>
    <row r="565" spans="1:71" x14ac:dyDescent="0.3">
      <c r="A565" s="349"/>
      <c r="B565" s="349"/>
      <c r="C565" s="349"/>
      <c r="D565" s="349"/>
      <c r="E565" s="349"/>
      <c r="F565" s="349"/>
      <c r="G565" s="349"/>
      <c r="H565" s="349"/>
      <c r="I565" s="349"/>
      <c r="J565" s="349"/>
      <c r="K565" s="349"/>
      <c r="L565" s="349"/>
      <c r="M565" s="349"/>
      <c r="N565" s="349"/>
      <c r="O565" s="349"/>
      <c r="P565" s="349"/>
      <c r="Q565" s="349"/>
      <c r="R565" s="349"/>
      <c r="S565" s="349"/>
      <c r="T565" s="349"/>
      <c r="U565" s="349"/>
      <c r="V565" s="349"/>
      <c r="W565" s="349"/>
      <c r="X565" s="349"/>
      <c r="Y565" s="349"/>
      <c r="Z565" s="349"/>
      <c r="AA565" s="349"/>
      <c r="AB565" s="349"/>
      <c r="AC565" s="349"/>
      <c r="AD565" s="349"/>
      <c r="AE565" s="349"/>
      <c r="AF565" s="349"/>
      <c r="AG565" s="349"/>
      <c r="AH565" s="349"/>
      <c r="AI565" s="349"/>
      <c r="AJ565" s="349"/>
      <c r="AK565" s="349"/>
      <c r="AL565" s="349"/>
      <c r="AM565" s="349"/>
      <c r="AN565" s="349"/>
      <c r="AO565" s="349"/>
      <c r="AP565" s="349"/>
      <c r="AQ565" s="349"/>
      <c r="AR565" s="349"/>
      <c r="AS565" s="349"/>
      <c r="AT565" s="349"/>
      <c r="AU565" s="349"/>
      <c r="AV565" s="349"/>
      <c r="AW565" s="349"/>
      <c r="AX565" s="349"/>
      <c r="AY565" s="349"/>
      <c r="AZ565" s="349"/>
      <c r="BA565" s="349"/>
      <c r="BB565" s="349"/>
      <c r="BC565" s="349"/>
      <c r="BD565" s="349"/>
      <c r="BE565" s="349"/>
      <c r="BF565" s="349"/>
      <c r="BG565" s="349"/>
      <c r="BH565" s="349"/>
      <c r="BI565" s="349"/>
      <c r="BJ565" s="349"/>
      <c r="BK565" s="349"/>
      <c r="BL565" s="349"/>
      <c r="BM565" s="349"/>
      <c r="BN565" s="349"/>
      <c r="BO565" s="349"/>
      <c r="BP565" s="349"/>
      <c r="BQ565" s="349"/>
      <c r="BR565" s="349"/>
      <c r="BS565" s="349"/>
    </row>
    <row r="566" spans="1:71" x14ac:dyDescent="0.3">
      <c r="A566" s="349"/>
      <c r="B566" s="349"/>
      <c r="C566" s="349"/>
      <c r="D566" s="349"/>
      <c r="E566" s="349"/>
      <c r="F566" s="349"/>
      <c r="G566" s="349"/>
      <c r="H566" s="349"/>
      <c r="I566" s="349"/>
      <c r="J566" s="349"/>
      <c r="K566" s="349"/>
      <c r="L566" s="349"/>
      <c r="M566" s="349"/>
      <c r="N566" s="349"/>
      <c r="O566" s="349"/>
      <c r="P566" s="349"/>
      <c r="Q566" s="349"/>
      <c r="R566" s="349"/>
      <c r="S566" s="349"/>
      <c r="T566" s="349"/>
      <c r="U566" s="349"/>
      <c r="V566" s="349"/>
      <c r="W566" s="349"/>
      <c r="X566" s="349"/>
      <c r="Y566" s="349"/>
      <c r="Z566" s="349"/>
      <c r="AA566" s="349"/>
      <c r="AB566" s="349"/>
      <c r="AC566" s="349"/>
      <c r="AD566" s="349"/>
      <c r="AE566" s="349"/>
      <c r="AF566" s="349"/>
      <c r="AG566" s="349"/>
      <c r="AH566" s="349"/>
      <c r="AI566" s="349"/>
      <c r="AJ566" s="349"/>
      <c r="AK566" s="349"/>
      <c r="AL566" s="349"/>
      <c r="AM566" s="349"/>
      <c r="AN566" s="349"/>
      <c r="AO566" s="349"/>
      <c r="AP566" s="349"/>
      <c r="AQ566" s="349"/>
      <c r="AR566" s="349"/>
      <c r="AS566" s="349"/>
      <c r="AT566" s="349"/>
      <c r="AU566" s="349"/>
      <c r="AV566" s="349"/>
      <c r="AW566" s="349"/>
      <c r="AX566" s="349"/>
      <c r="AY566" s="349"/>
      <c r="AZ566" s="349"/>
      <c r="BA566" s="349"/>
      <c r="BB566" s="349"/>
      <c r="BC566" s="349"/>
      <c r="BD566" s="349"/>
      <c r="BE566" s="349"/>
      <c r="BF566" s="349"/>
      <c r="BG566" s="349"/>
      <c r="BH566" s="349"/>
      <c r="BI566" s="349"/>
      <c r="BJ566" s="349"/>
      <c r="BK566" s="349"/>
      <c r="BL566" s="349"/>
      <c r="BM566" s="349"/>
      <c r="BN566" s="349"/>
      <c r="BO566" s="349"/>
      <c r="BP566" s="349"/>
      <c r="BQ566" s="349"/>
      <c r="BR566" s="349"/>
      <c r="BS566" s="349"/>
    </row>
    <row r="567" spans="1:71" x14ac:dyDescent="0.3">
      <c r="A567" s="349"/>
      <c r="B567" s="349"/>
      <c r="C567" s="349"/>
      <c r="D567" s="349"/>
      <c r="E567" s="349"/>
      <c r="F567" s="349"/>
      <c r="G567" s="349"/>
      <c r="H567" s="349"/>
      <c r="I567" s="349"/>
      <c r="J567" s="349"/>
      <c r="K567" s="349"/>
      <c r="L567" s="349"/>
      <c r="M567" s="349"/>
      <c r="N567" s="349"/>
      <c r="O567" s="349"/>
      <c r="P567" s="349"/>
      <c r="Q567" s="349"/>
      <c r="R567" s="349"/>
      <c r="S567" s="349"/>
      <c r="T567" s="349"/>
      <c r="U567" s="349"/>
      <c r="V567" s="349"/>
      <c r="W567" s="349"/>
      <c r="X567" s="349"/>
      <c r="Y567" s="349"/>
      <c r="Z567" s="349"/>
      <c r="AA567" s="349"/>
      <c r="AB567" s="349"/>
      <c r="AC567" s="349"/>
      <c r="AD567" s="349"/>
      <c r="AE567" s="349"/>
      <c r="AF567" s="349"/>
      <c r="AG567" s="349"/>
      <c r="AH567" s="349"/>
      <c r="AI567" s="349"/>
      <c r="AJ567" s="349"/>
      <c r="AK567" s="349"/>
      <c r="AL567" s="349"/>
      <c r="AM567" s="349"/>
      <c r="AN567" s="349"/>
      <c r="AO567" s="349"/>
      <c r="AP567" s="349"/>
      <c r="AQ567" s="349"/>
      <c r="AR567" s="349"/>
      <c r="AS567" s="349"/>
      <c r="AT567" s="349"/>
      <c r="AU567" s="349"/>
      <c r="AV567" s="349"/>
      <c r="AW567" s="349"/>
      <c r="AX567" s="349"/>
      <c r="AY567" s="349"/>
      <c r="AZ567" s="349"/>
      <c r="BA567" s="349"/>
      <c r="BB567" s="349"/>
      <c r="BC567" s="349"/>
      <c r="BD567" s="349"/>
      <c r="BE567" s="349"/>
      <c r="BF567" s="349"/>
      <c r="BG567" s="349"/>
      <c r="BH567" s="349"/>
      <c r="BI567" s="349"/>
      <c r="BJ567" s="349"/>
      <c r="BK567" s="349"/>
      <c r="BL567" s="349"/>
      <c r="BM567" s="349"/>
      <c r="BN567" s="349"/>
      <c r="BO567" s="349"/>
      <c r="BP567" s="349"/>
      <c r="BQ567" s="349"/>
      <c r="BR567" s="349"/>
      <c r="BS567" s="349"/>
    </row>
    <row r="568" spans="1:71" x14ac:dyDescent="0.3">
      <c r="A568" s="349"/>
      <c r="B568" s="349"/>
      <c r="C568" s="349"/>
      <c r="D568" s="349"/>
      <c r="E568" s="349"/>
      <c r="F568" s="349"/>
      <c r="G568" s="349"/>
      <c r="H568" s="349"/>
      <c r="I568" s="349"/>
      <c r="J568" s="349"/>
      <c r="K568" s="349"/>
      <c r="L568" s="349"/>
      <c r="M568" s="349"/>
      <c r="N568" s="349"/>
      <c r="O568" s="349"/>
      <c r="P568" s="349"/>
      <c r="Q568" s="349"/>
      <c r="R568" s="349"/>
      <c r="S568" s="349"/>
      <c r="T568" s="349"/>
      <c r="U568" s="349"/>
      <c r="V568" s="349"/>
      <c r="W568" s="349"/>
      <c r="X568" s="349"/>
      <c r="Y568" s="349"/>
      <c r="Z568" s="349"/>
      <c r="AA568" s="349"/>
      <c r="AB568" s="349"/>
      <c r="AC568" s="349"/>
      <c r="AD568" s="349"/>
      <c r="AE568" s="349"/>
      <c r="AF568" s="349"/>
      <c r="AG568" s="349"/>
      <c r="AH568" s="349"/>
      <c r="AI568" s="349"/>
      <c r="AJ568" s="349"/>
      <c r="AK568" s="349"/>
      <c r="AL568" s="349"/>
      <c r="AM568" s="349"/>
      <c r="AN568" s="349"/>
      <c r="AO568" s="349"/>
      <c r="AP568" s="349"/>
      <c r="AQ568" s="349"/>
      <c r="AR568" s="349"/>
      <c r="AS568" s="349"/>
      <c r="AT568" s="349"/>
      <c r="AU568" s="349"/>
      <c r="AV568" s="349"/>
      <c r="AW568" s="349"/>
      <c r="AX568" s="349"/>
      <c r="AY568" s="349"/>
      <c r="AZ568" s="349"/>
      <c r="BA568" s="349"/>
      <c r="BB568" s="349"/>
      <c r="BC568" s="349"/>
      <c r="BD568" s="349"/>
      <c r="BE568" s="349"/>
      <c r="BF568" s="349"/>
      <c r="BG568" s="349"/>
      <c r="BH568" s="349"/>
      <c r="BI568" s="349"/>
      <c r="BJ568" s="349"/>
      <c r="BK568" s="349"/>
      <c r="BL568" s="349"/>
      <c r="BM568" s="349"/>
      <c r="BN568" s="349"/>
      <c r="BO568" s="349"/>
      <c r="BP568" s="349"/>
      <c r="BQ568" s="349"/>
      <c r="BR568" s="349"/>
      <c r="BS568" s="349"/>
    </row>
    <row r="569" spans="1:71" x14ac:dyDescent="0.3">
      <c r="A569" s="349"/>
      <c r="B569" s="349"/>
      <c r="C569" s="349"/>
      <c r="D569" s="349"/>
      <c r="E569" s="349"/>
      <c r="F569" s="349"/>
      <c r="G569" s="349"/>
      <c r="H569" s="349"/>
      <c r="I569" s="349"/>
      <c r="J569" s="349"/>
      <c r="K569" s="349"/>
      <c r="L569" s="349"/>
      <c r="M569" s="349"/>
      <c r="N569" s="349"/>
      <c r="O569" s="349"/>
      <c r="P569" s="349"/>
      <c r="Q569" s="349"/>
      <c r="R569" s="349"/>
      <c r="S569" s="349"/>
      <c r="T569" s="349"/>
      <c r="U569" s="349"/>
      <c r="V569" s="349"/>
      <c r="W569" s="349"/>
      <c r="X569" s="349"/>
      <c r="Y569" s="349"/>
      <c r="Z569" s="349"/>
      <c r="AA569" s="349"/>
      <c r="AB569" s="349"/>
      <c r="AC569" s="349"/>
      <c r="AD569" s="349"/>
      <c r="AE569" s="349"/>
      <c r="AF569" s="349"/>
      <c r="AG569" s="349"/>
      <c r="AH569" s="349"/>
      <c r="AI569" s="349"/>
      <c r="AJ569" s="349"/>
      <c r="AK569" s="349"/>
      <c r="AL569" s="349"/>
      <c r="AM569" s="349"/>
      <c r="AN569" s="349"/>
      <c r="AO569" s="349"/>
      <c r="AP569" s="349"/>
      <c r="AQ569" s="349"/>
      <c r="AR569" s="349"/>
      <c r="AS569" s="349"/>
      <c r="AT569" s="349"/>
      <c r="AU569" s="349"/>
      <c r="AV569" s="349"/>
      <c r="AW569" s="349"/>
      <c r="AX569" s="349"/>
      <c r="AY569" s="349"/>
      <c r="AZ569" s="349"/>
      <c r="BA569" s="349"/>
      <c r="BB569" s="349"/>
      <c r="BC569" s="349"/>
      <c r="BD569" s="349"/>
      <c r="BE569" s="349"/>
      <c r="BF569" s="349"/>
      <c r="BG569" s="349"/>
      <c r="BH569" s="349"/>
      <c r="BI569" s="349"/>
      <c r="BJ569" s="349"/>
      <c r="BK569" s="349"/>
      <c r="BL569" s="349"/>
      <c r="BM569" s="349"/>
      <c r="BN569" s="349"/>
      <c r="BO569" s="349"/>
      <c r="BP569" s="349"/>
      <c r="BQ569" s="349"/>
      <c r="BR569" s="349"/>
      <c r="BS569" s="349"/>
    </row>
    <row r="570" spans="1:71" x14ac:dyDescent="0.3">
      <c r="A570" s="349"/>
      <c r="B570" s="349"/>
      <c r="C570" s="349"/>
      <c r="D570" s="349"/>
      <c r="E570" s="349"/>
      <c r="F570" s="349"/>
      <c r="G570" s="349"/>
      <c r="H570" s="349"/>
      <c r="I570" s="349"/>
      <c r="J570" s="349"/>
      <c r="K570" s="349"/>
      <c r="L570" s="349"/>
      <c r="M570" s="349"/>
      <c r="N570" s="349"/>
      <c r="O570" s="349"/>
      <c r="P570" s="349"/>
      <c r="Q570" s="349"/>
      <c r="R570" s="349"/>
      <c r="S570" s="349"/>
      <c r="T570" s="349"/>
      <c r="U570" s="349"/>
      <c r="V570" s="349"/>
      <c r="W570" s="349"/>
      <c r="X570" s="349"/>
      <c r="Y570" s="349"/>
      <c r="Z570" s="349"/>
      <c r="AA570" s="349"/>
      <c r="AB570" s="349"/>
      <c r="AC570" s="349"/>
      <c r="AD570" s="349"/>
      <c r="AE570" s="349"/>
      <c r="AF570" s="349"/>
      <c r="AG570" s="349"/>
      <c r="AH570" s="349"/>
      <c r="AI570" s="349"/>
      <c r="AJ570" s="349"/>
      <c r="AK570" s="349"/>
      <c r="AL570" s="349"/>
      <c r="AM570" s="349"/>
      <c r="AN570" s="349"/>
      <c r="AO570" s="349"/>
      <c r="AP570" s="349"/>
      <c r="AQ570" s="349"/>
      <c r="AR570" s="349"/>
      <c r="AS570" s="349"/>
      <c r="AT570" s="349"/>
      <c r="AU570" s="349"/>
      <c r="AV570" s="349"/>
      <c r="AW570" s="349"/>
      <c r="AX570" s="349"/>
      <c r="AY570" s="349"/>
      <c r="AZ570" s="349"/>
      <c r="BA570" s="349"/>
      <c r="BB570" s="349"/>
      <c r="BC570" s="349"/>
      <c r="BD570" s="349"/>
      <c r="BE570" s="349"/>
      <c r="BF570" s="349"/>
      <c r="BG570" s="349"/>
      <c r="BH570" s="349"/>
      <c r="BI570" s="349"/>
      <c r="BJ570" s="349"/>
      <c r="BK570" s="349"/>
      <c r="BL570" s="349"/>
      <c r="BM570" s="349"/>
      <c r="BN570" s="349"/>
      <c r="BO570" s="349"/>
      <c r="BP570" s="349"/>
      <c r="BQ570" s="349"/>
      <c r="BR570" s="349"/>
      <c r="BS570" s="349"/>
    </row>
    <row r="571" spans="1:71" x14ac:dyDescent="0.3">
      <c r="A571" s="349"/>
      <c r="B571" s="349"/>
      <c r="C571" s="349"/>
      <c r="D571" s="349"/>
      <c r="E571" s="349"/>
      <c r="F571" s="349"/>
      <c r="G571" s="349"/>
      <c r="H571" s="349"/>
      <c r="I571" s="349"/>
      <c r="J571" s="349"/>
      <c r="K571" s="349"/>
      <c r="L571" s="349"/>
      <c r="M571" s="349"/>
      <c r="N571" s="349"/>
      <c r="O571" s="349"/>
      <c r="P571" s="349"/>
      <c r="Q571" s="349"/>
      <c r="R571" s="349"/>
      <c r="S571" s="349"/>
      <c r="T571" s="349"/>
      <c r="U571" s="349"/>
      <c r="V571" s="349"/>
      <c r="W571" s="349"/>
      <c r="X571" s="349"/>
      <c r="Y571" s="349"/>
      <c r="Z571" s="349"/>
      <c r="AA571" s="349"/>
      <c r="AB571" s="349"/>
      <c r="AC571" s="349"/>
      <c r="AD571" s="349"/>
      <c r="AE571" s="349"/>
      <c r="AF571" s="349"/>
      <c r="AG571" s="349"/>
      <c r="AH571" s="349"/>
      <c r="AI571" s="349"/>
      <c r="AJ571" s="349"/>
      <c r="AK571" s="349"/>
      <c r="AL571" s="349"/>
      <c r="AM571" s="349"/>
      <c r="AN571" s="349"/>
      <c r="AO571" s="349"/>
      <c r="AP571" s="349"/>
      <c r="AQ571" s="349"/>
      <c r="AR571" s="349"/>
      <c r="AS571" s="349"/>
      <c r="AT571" s="349"/>
      <c r="AU571" s="349"/>
      <c r="AV571" s="349"/>
      <c r="AW571" s="349"/>
      <c r="AX571" s="349"/>
      <c r="AY571" s="349"/>
      <c r="AZ571" s="349"/>
      <c r="BA571" s="349"/>
      <c r="BB571" s="349"/>
      <c r="BC571" s="349"/>
      <c r="BD571" s="349"/>
      <c r="BE571" s="349"/>
      <c r="BF571" s="349"/>
      <c r="BG571" s="349"/>
      <c r="BH571" s="349"/>
      <c r="BI571" s="349"/>
      <c r="BJ571" s="349"/>
      <c r="BK571" s="349"/>
      <c r="BL571" s="349"/>
      <c r="BM571" s="349"/>
      <c r="BN571" s="349"/>
      <c r="BO571" s="349"/>
      <c r="BP571" s="349"/>
      <c r="BQ571" s="349"/>
      <c r="BR571" s="349"/>
      <c r="BS571" s="349"/>
    </row>
    <row r="572" spans="1:71" x14ac:dyDescent="0.3">
      <c r="A572" s="349"/>
      <c r="B572" s="349"/>
      <c r="C572" s="349"/>
      <c r="D572" s="349"/>
      <c r="E572" s="349"/>
      <c r="F572" s="349"/>
      <c r="G572" s="349"/>
      <c r="H572" s="349"/>
      <c r="I572" s="349"/>
      <c r="J572" s="349"/>
      <c r="K572" s="349"/>
      <c r="L572" s="349"/>
      <c r="M572" s="349"/>
      <c r="N572" s="349"/>
      <c r="O572" s="349"/>
      <c r="P572" s="349"/>
      <c r="Q572" s="349"/>
      <c r="R572" s="349"/>
      <c r="S572" s="349"/>
      <c r="T572" s="349"/>
      <c r="U572" s="349"/>
      <c r="V572" s="349"/>
      <c r="W572" s="349"/>
      <c r="X572" s="349"/>
      <c r="Y572" s="349"/>
      <c r="Z572" s="349"/>
      <c r="AA572" s="349"/>
      <c r="AB572" s="349"/>
      <c r="AC572" s="349"/>
      <c r="AD572" s="349"/>
      <c r="AE572" s="349"/>
      <c r="AF572" s="349"/>
      <c r="AG572" s="349"/>
      <c r="AH572" s="349"/>
      <c r="AI572" s="349"/>
      <c r="AJ572" s="349"/>
      <c r="AK572" s="349"/>
      <c r="AL572" s="349"/>
      <c r="AM572" s="349"/>
      <c r="AN572" s="349"/>
      <c r="AO572" s="349"/>
      <c r="AP572" s="349"/>
      <c r="AQ572" s="349"/>
      <c r="AR572" s="349"/>
      <c r="AS572" s="349"/>
      <c r="AT572" s="349"/>
      <c r="AU572" s="349"/>
      <c r="AV572" s="349"/>
      <c r="AW572" s="349"/>
      <c r="AX572" s="349"/>
      <c r="AY572" s="349"/>
      <c r="AZ572" s="349"/>
      <c r="BA572" s="349"/>
      <c r="BB572" s="349"/>
      <c r="BC572" s="349"/>
      <c r="BD572" s="349"/>
      <c r="BE572" s="349"/>
      <c r="BF572" s="349"/>
      <c r="BG572" s="349"/>
      <c r="BH572" s="349"/>
      <c r="BI572" s="349"/>
      <c r="BJ572" s="349"/>
      <c r="BK572" s="349"/>
      <c r="BL572" s="349"/>
      <c r="BM572" s="349"/>
      <c r="BN572" s="349"/>
      <c r="BO572" s="349"/>
      <c r="BP572" s="349"/>
      <c r="BQ572" s="349"/>
      <c r="BR572" s="349"/>
      <c r="BS572" s="349"/>
    </row>
    <row r="573" spans="1:71" x14ac:dyDescent="0.3">
      <c r="A573" s="349"/>
      <c r="B573" s="349"/>
      <c r="C573" s="349"/>
      <c r="D573" s="349"/>
      <c r="E573" s="349"/>
      <c r="F573" s="349"/>
      <c r="G573" s="349"/>
      <c r="H573" s="349"/>
      <c r="I573" s="349"/>
      <c r="J573" s="349"/>
      <c r="K573" s="349"/>
      <c r="L573" s="349"/>
      <c r="M573" s="349"/>
      <c r="N573" s="349"/>
      <c r="O573" s="349"/>
      <c r="P573" s="349"/>
      <c r="Q573" s="349"/>
      <c r="R573" s="349"/>
      <c r="S573" s="349"/>
      <c r="T573" s="349"/>
      <c r="U573" s="349"/>
      <c r="V573" s="349"/>
      <c r="W573" s="349"/>
      <c r="X573" s="349"/>
      <c r="Y573" s="349"/>
      <c r="Z573" s="349"/>
      <c r="AA573" s="349"/>
      <c r="AB573" s="349"/>
      <c r="AC573" s="349"/>
      <c r="AD573" s="349"/>
      <c r="AE573" s="349"/>
      <c r="AF573" s="349"/>
      <c r="AG573" s="349"/>
      <c r="AH573" s="349"/>
      <c r="AI573" s="349"/>
      <c r="AJ573" s="349"/>
      <c r="AK573" s="349"/>
      <c r="AL573" s="349"/>
      <c r="AM573" s="349"/>
      <c r="AN573" s="349"/>
      <c r="AO573" s="349"/>
      <c r="AP573" s="349"/>
      <c r="AQ573" s="349"/>
      <c r="AR573" s="349"/>
      <c r="AS573" s="349"/>
      <c r="AT573" s="349"/>
      <c r="AU573" s="349"/>
      <c r="AV573" s="349"/>
      <c r="AW573" s="349"/>
      <c r="AX573" s="349"/>
      <c r="AY573" s="349"/>
      <c r="AZ573" s="349"/>
      <c r="BA573" s="349"/>
      <c r="BB573" s="349"/>
      <c r="BC573" s="349"/>
      <c r="BD573" s="349"/>
      <c r="BE573" s="349"/>
      <c r="BF573" s="349"/>
      <c r="BG573" s="349"/>
      <c r="BH573" s="349"/>
      <c r="BI573" s="349"/>
      <c r="BJ573" s="349"/>
      <c r="BK573" s="349"/>
      <c r="BL573" s="349"/>
      <c r="BM573" s="349"/>
      <c r="BN573" s="349"/>
      <c r="BO573" s="349"/>
      <c r="BP573" s="349"/>
      <c r="BQ573" s="349"/>
      <c r="BR573" s="349"/>
      <c r="BS573" s="349"/>
    </row>
    <row r="574" spans="1:71" x14ac:dyDescent="0.3">
      <c r="A574" s="349"/>
      <c r="B574" s="349"/>
      <c r="C574" s="349"/>
      <c r="D574" s="349"/>
      <c r="E574" s="349"/>
      <c r="F574" s="349"/>
      <c r="G574" s="349"/>
      <c r="H574" s="349"/>
      <c r="I574" s="349"/>
      <c r="J574" s="349"/>
      <c r="K574" s="349"/>
      <c r="L574" s="349"/>
      <c r="M574" s="349"/>
      <c r="N574" s="349"/>
      <c r="O574" s="349"/>
      <c r="P574" s="349"/>
      <c r="Q574" s="349"/>
      <c r="R574" s="349"/>
      <c r="S574" s="349"/>
      <c r="T574" s="349"/>
      <c r="U574" s="349"/>
      <c r="V574" s="349"/>
      <c r="W574" s="349"/>
      <c r="X574" s="349"/>
      <c r="Y574" s="349"/>
      <c r="Z574" s="349"/>
      <c r="AA574" s="349"/>
      <c r="AB574" s="349"/>
      <c r="AC574" s="349"/>
      <c r="AD574" s="349"/>
      <c r="AE574" s="349"/>
      <c r="AF574" s="349"/>
      <c r="AG574" s="349"/>
      <c r="AH574" s="349"/>
      <c r="AI574" s="349"/>
      <c r="AJ574" s="349"/>
      <c r="AK574" s="349"/>
      <c r="AL574" s="349"/>
      <c r="AM574" s="349"/>
      <c r="AN574" s="349"/>
      <c r="AO574" s="349"/>
      <c r="AP574" s="349"/>
      <c r="AQ574" s="349"/>
      <c r="AR574" s="349"/>
      <c r="AS574" s="349"/>
      <c r="AT574" s="349"/>
      <c r="AU574" s="349"/>
      <c r="AV574" s="349"/>
      <c r="AW574" s="349"/>
      <c r="AX574" s="349"/>
      <c r="AY574" s="349"/>
      <c r="AZ574" s="349"/>
      <c r="BA574" s="349"/>
      <c r="BB574" s="349"/>
      <c r="BC574" s="349"/>
      <c r="BD574" s="349"/>
      <c r="BE574" s="349"/>
      <c r="BF574" s="349"/>
      <c r="BG574" s="349"/>
      <c r="BH574" s="349"/>
      <c r="BI574" s="349"/>
      <c r="BJ574" s="349"/>
      <c r="BK574" s="349"/>
      <c r="BL574" s="349"/>
      <c r="BM574" s="349"/>
      <c r="BN574" s="349"/>
      <c r="BO574" s="349"/>
      <c r="BP574" s="349"/>
      <c r="BQ574" s="349"/>
      <c r="BR574" s="349"/>
      <c r="BS574" s="349"/>
    </row>
    <row r="575" spans="1:71" x14ac:dyDescent="0.3">
      <c r="A575" s="349"/>
      <c r="B575" s="349"/>
      <c r="C575" s="349"/>
      <c r="D575" s="349"/>
      <c r="E575" s="349"/>
      <c r="F575" s="349"/>
      <c r="G575" s="349"/>
      <c r="H575" s="349"/>
      <c r="I575" s="349"/>
      <c r="J575" s="349"/>
      <c r="K575" s="349"/>
      <c r="L575" s="349"/>
      <c r="M575" s="349"/>
      <c r="N575" s="349"/>
      <c r="O575" s="349"/>
      <c r="P575" s="349"/>
      <c r="Q575" s="349"/>
      <c r="R575" s="349"/>
      <c r="S575" s="349"/>
      <c r="T575" s="349"/>
      <c r="U575" s="349"/>
      <c r="V575" s="349"/>
      <c r="W575" s="349"/>
      <c r="X575" s="349"/>
      <c r="Y575" s="349"/>
      <c r="Z575" s="349"/>
      <c r="AA575" s="349"/>
      <c r="AB575" s="349"/>
      <c r="AC575" s="349"/>
      <c r="AD575" s="349"/>
      <c r="AE575" s="349"/>
      <c r="AF575" s="349"/>
      <c r="AG575" s="349"/>
      <c r="AH575" s="349"/>
      <c r="AI575" s="349"/>
      <c r="AJ575" s="349"/>
      <c r="AK575" s="349"/>
      <c r="AL575" s="349"/>
      <c r="AM575" s="349"/>
      <c r="AN575" s="349"/>
      <c r="AO575" s="349"/>
      <c r="AP575" s="349"/>
      <c r="AQ575" s="349"/>
      <c r="AR575" s="349"/>
      <c r="AS575" s="349"/>
      <c r="AT575" s="349"/>
      <c r="AU575" s="349"/>
      <c r="AV575" s="349"/>
      <c r="AW575" s="349"/>
      <c r="AX575" s="349"/>
      <c r="AY575" s="349"/>
      <c r="AZ575" s="349"/>
      <c r="BA575" s="349"/>
      <c r="BB575" s="349"/>
      <c r="BC575" s="349"/>
      <c r="BD575" s="349"/>
      <c r="BE575" s="349"/>
      <c r="BF575" s="349"/>
      <c r="BG575" s="349"/>
      <c r="BH575" s="349"/>
      <c r="BI575" s="349"/>
      <c r="BJ575" s="349"/>
      <c r="BK575" s="349"/>
      <c r="BL575" s="349"/>
      <c r="BM575" s="349"/>
      <c r="BN575" s="349"/>
      <c r="BO575" s="349"/>
      <c r="BP575" s="349"/>
      <c r="BQ575" s="349"/>
      <c r="BR575" s="349"/>
      <c r="BS575" s="349"/>
    </row>
    <row r="576" spans="1:71" x14ac:dyDescent="0.3">
      <c r="A576" s="349"/>
      <c r="B576" s="349"/>
      <c r="C576" s="349"/>
      <c r="D576" s="349"/>
      <c r="E576" s="349"/>
      <c r="F576" s="349"/>
      <c r="G576" s="349"/>
      <c r="H576" s="349"/>
      <c r="I576" s="349"/>
      <c r="J576" s="349"/>
      <c r="K576" s="349"/>
      <c r="L576" s="349"/>
      <c r="M576" s="349"/>
      <c r="N576" s="349"/>
      <c r="O576" s="349"/>
      <c r="P576" s="349"/>
      <c r="Q576" s="349"/>
      <c r="R576" s="349"/>
      <c r="S576" s="349"/>
      <c r="T576" s="349"/>
      <c r="U576" s="349"/>
      <c r="V576" s="349"/>
      <c r="W576" s="349"/>
      <c r="X576" s="349"/>
      <c r="Y576" s="349"/>
      <c r="Z576" s="349"/>
      <c r="AA576" s="349"/>
      <c r="AB576" s="349"/>
      <c r="AC576" s="349"/>
      <c r="AD576" s="349"/>
      <c r="AE576" s="349"/>
      <c r="AF576" s="349"/>
      <c r="AG576" s="349"/>
      <c r="AH576" s="349"/>
      <c r="AI576" s="349"/>
      <c r="AJ576" s="349"/>
      <c r="AK576" s="349"/>
      <c r="AL576" s="349"/>
      <c r="AM576" s="349"/>
      <c r="AN576" s="349"/>
      <c r="AO576" s="349"/>
      <c r="AP576" s="349"/>
      <c r="AQ576" s="349"/>
      <c r="AR576" s="349"/>
      <c r="AS576" s="349"/>
      <c r="AT576" s="349"/>
      <c r="AU576" s="349"/>
      <c r="AV576" s="349"/>
      <c r="AW576" s="349"/>
      <c r="AX576" s="349"/>
      <c r="AY576" s="349"/>
      <c r="AZ576" s="349"/>
      <c r="BA576" s="349"/>
      <c r="BB576" s="349"/>
      <c r="BC576" s="349"/>
      <c r="BD576" s="349"/>
      <c r="BE576" s="349"/>
      <c r="BF576" s="349"/>
      <c r="BG576" s="349"/>
      <c r="BH576" s="349"/>
      <c r="BI576" s="349"/>
      <c r="BJ576" s="349"/>
      <c r="BK576" s="349"/>
      <c r="BL576" s="349"/>
      <c r="BM576" s="349"/>
      <c r="BN576" s="349"/>
      <c r="BO576" s="349"/>
      <c r="BP576" s="349"/>
      <c r="BQ576" s="349"/>
      <c r="BR576" s="349"/>
      <c r="BS576" s="349"/>
    </row>
    <row r="577" spans="1:71" x14ac:dyDescent="0.3">
      <c r="A577" s="349"/>
      <c r="B577" s="349"/>
      <c r="C577" s="349"/>
      <c r="D577" s="349"/>
      <c r="E577" s="349"/>
      <c r="F577" s="349"/>
      <c r="G577" s="349"/>
      <c r="H577" s="349"/>
      <c r="I577" s="349"/>
      <c r="J577" s="349"/>
      <c r="K577" s="349"/>
      <c r="L577" s="349"/>
      <c r="M577" s="349"/>
      <c r="N577" s="349"/>
      <c r="O577" s="349"/>
      <c r="P577" s="349"/>
      <c r="Q577" s="349"/>
      <c r="R577" s="349"/>
      <c r="S577" s="349"/>
      <c r="T577" s="349"/>
      <c r="U577" s="349"/>
      <c r="V577" s="349"/>
      <c r="W577" s="349"/>
      <c r="X577" s="349"/>
      <c r="Y577" s="349"/>
      <c r="Z577" s="349"/>
      <c r="AA577" s="349"/>
      <c r="AB577" s="349"/>
      <c r="AC577" s="349"/>
      <c r="AD577" s="349"/>
      <c r="AE577" s="349"/>
      <c r="AF577" s="349"/>
      <c r="AG577" s="349"/>
      <c r="AH577" s="349"/>
      <c r="AI577" s="349"/>
      <c r="AJ577" s="349"/>
      <c r="AK577" s="349"/>
      <c r="AL577" s="349"/>
      <c r="AM577" s="349"/>
      <c r="AN577" s="349"/>
      <c r="AO577" s="349"/>
      <c r="AP577" s="349"/>
      <c r="AQ577" s="349"/>
      <c r="AR577" s="349"/>
      <c r="AS577" s="349"/>
      <c r="AT577" s="349"/>
      <c r="AU577" s="349"/>
      <c r="AV577" s="349"/>
      <c r="AW577" s="349"/>
      <c r="AX577" s="349"/>
      <c r="AY577" s="349"/>
      <c r="AZ577" s="349"/>
      <c r="BA577" s="349"/>
      <c r="BB577" s="349"/>
      <c r="BC577" s="349"/>
      <c r="BD577" s="349"/>
      <c r="BE577" s="349"/>
      <c r="BF577" s="349"/>
      <c r="BG577" s="349"/>
      <c r="BH577" s="349"/>
      <c r="BI577" s="349"/>
      <c r="BJ577" s="349"/>
      <c r="BK577" s="349"/>
      <c r="BL577" s="349"/>
      <c r="BM577" s="349"/>
      <c r="BN577" s="349"/>
      <c r="BO577" s="349"/>
      <c r="BP577" s="349"/>
      <c r="BQ577" s="349"/>
      <c r="BR577" s="349"/>
      <c r="BS577" s="349"/>
    </row>
    <row r="578" spans="1:71" x14ac:dyDescent="0.3">
      <c r="A578" s="349"/>
      <c r="B578" s="349"/>
      <c r="C578" s="349"/>
      <c r="D578" s="349"/>
      <c r="E578" s="349"/>
      <c r="F578" s="349"/>
      <c r="G578" s="349"/>
      <c r="H578" s="349"/>
      <c r="I578" s="349"/>
      <c r="J578" s="349"/>
      <c r="K578" s="349"/>
      <c r="L578" s="349"/>
      <c r="M578" s="349"/>
      <c r="N578" s="349"/>
      <c r="O578" s="349"/>
      <c r="P578" s="349"/>
      <c r="Q578" s="349"/>
      <c r="R578" s="349"/>
      <c r="S578" s="349"/>
      <c r="T578" s="349"/>
      <c r="U578" s="349"/>
      <c r="V578" s="349"/>
      <c r="W578" s="349"/>
      <c r="X578" s="349"/>
      <c r="Y578" s="349"/>
      <c r="Z578" s="349"/>
      <c r="AA578" s="349"/>
      <c r="AB578" s="349"/>
      <c r="AC578" s="349"/>
      <c r="AD578" s="349"/>
      <c r="AE578" s="349"/>
      <c r="AF578" s="349"/>
      <c r="AG578" s="349"/>
      <c r="AH578" s="349"/>
      <c r="AI578" s="349"/>
      <c r="AJ578" s="349"/>
      <c r="AK578" s="349"/>
      <c r="AL578" s="349"/>
      <c r="AM578" s="349"/>
      <c r="AN578" s="349"/>
      <c r="AO578" s="349"/>
      <c r="AP578" s="349"/>
      <c r="AQ578" s="349"/>
      <c r="AR578" s="349"/>
      <c r="AS578" s="349"/>
      <c r="AT578" s="349"/>
      <c r="AU578" s="349"/>
      <c r="AV578" s="349"/>
      <c r="AW578" s="349"/>
      <c r="AX578" s="349"/>
      <c r="AY578" s="349"/>
      <c r="AZ578" s="349"/>
      <c r="BA578" s="349"/>
      <c r="BB578" s="349"/>
      <c r="BC578" s="349"/>
      <c r="BD578" s="349"/>
      <c r="BE578" s="349"/>
      <c r="BF578" s="349"/>
      <c r="BG578" s="349"/>
      <c r="BH578" s="349"/>
      <c r="BI578" s="349"/>
      <c r="BJ578" s="349"/>
      <c r="BK578" s="349"/>
      <c r="BL578" s="349"/>
      <c r="BM578" s="349"/>
      <c r="BN578" s="349"/>
      <c r="BO578" s="349"/>
      <c r="BP578" s="349"/>
      <c r="BQ578" s="349"/>
      <c r="BR578" s="349"/>
      <c r="BS578" s="349"/>
    </row>
    <row r="579" spans="1:71" x14ac:dyDescent="0.3">
      <c r="A579" s="349"/>
      <c r="B579" s="349"/>
      <c r="C579" s="349"/>
      <c r="D579" s="349"/>
      <c r="E579" s="349"/>
      <c r="F579" s="349"/>
      <c r="G579" s="349"/>
      <c r="H579" s="349"/>
      <c r="I579" s="349"/>
      <c r="J579" s="349"/>
      <c r="K579" s="349"/>
      <c r="L579" s="349"/>
      <c r="M579" s="349"/>
      <c r="N579" s="349"/>
      <c r="O579" s="349"/>
      <c r="P579" s="349"/>
      <c r="Q579" s="349"/>
      <c r="R579" s="349"/>
      <c r="S579" s="349"/>
      <c r="T579" s="349"/>
      <c r="U579" s="349"/>
      <c r="V579" s="349"/>
      <c r="W579" s="349"/>
      <c r="X579" s="349"/>
      <c r="Y579" s="349"/>
      <c r="Z579" s="349"/>
      <c r="AA579" s="349"/>
      <c r="AB579" s="349"/>
      <c r="AC579" s="349"/>
      <c r="AD579" s="349"/>
      <c r="AE579" s="349"/>
      <c r="AF579" s="349"/>
      <c r="AG579" s="349"/>
      <c r="AH579" s="349"/>
      <c r="AI579" s="349"/>
      <c r="AJ579" s="349"/>
      <c r="AK579" s="349"/>
      <c r="AL579" s="349"/>
      <c r="AM579" s="349"/>
      <c r="AN579" s="349"/>
      <c r="AO579" s="349"/>
      <c r="AP579" s="349"/>
      <c r="AQ579" s="349"/>
      <c r="AR579" s="349"/>
      <c r="AS579" s="349"/>
      <c r="AT579" s="349"/>
      <c r="AU579" s="349"/>
      <c r="AV579" s="349"/>
      <c r="AW579" s="349"/>
      <c r="AX579" s="349"/>
      <c r="AY579" s="349"/>
      <c r="AZ579" s="349"/>
      <c r="BA579" s="349"/>
      <c r="BB579" s="349"/>
      <c r="BC579" s="349"/>
      <c r="BD579" s="349"/>
      <c r="BE579" s="349"/>
      <c r="BF579" s="349"/>
      <c r="BG579" s="349"/>
      <c r="BH579" s="349"/>
      <c r="BI579" s="349"/>
      <c r="BJ579" s="349"/>
      <c r="BK579" s="349"/>
      <c r="BL579" s="349"/>
      <c r="BM579" s="349"/>
      <c r="BN579" s="349"/>
      <c r="BO579" s="349"/>
      <c r="BP579" s="349"/>
      <c r="BQ579" s="349"/>
      <c r="BR579" s="349"/>
      <c r="BS579" s="349"/>
    </row>
    <row r="580" spans="1:71" x14ac:dyDescent="0.3">
      <c r="A580" s="349"/>
      <c r="B580" s="349"/>
      <c r="C580" s="349"/>
      <c r="D580" s="349"/>
      <c r="E580" s="349"/>
      <c r="F580" s="349"/>
      <c r="G580" s="349"/>
      <c r="H580" s="349"/>
      <c r="I580" s="349"/>
      <c r="J580" s="349"/>
      <c r="K580" s="349"/>
      <c r="L580" s="349"/>
      <c r="M580" s="349"/>
      <c r="N580" s="349"/>
      <c r="O580" s="349"/>
      <c r="P580" s="349"/>
      <c r="Q580" s="349"/>
      <c r="R580" s="349"/>
      <c r="S580" s="349"/>
      <c r="T580" s="349"/>
      <c r="U580" s="349"/>
      <c r="V580" s="349"/>
      <c r="W580" s="349"/>
      <c r="X580" s="349"/>
      <c r="Y580" s="349"/>
      <c r="Z580" s="349"/>
      <c r="AA580" s="349"/>
      <c r="AB580" s="349"/>
      <c r="AC580" s="349"/>
      <c r="AD580" s="349"/>
      <c r="AE580" s="349"/>
      <c r="AF580" s="349"/>
      <c r="AG580" s="349"/>
      <c r="AH580" s="349"/>
      <c r="AI580" s="349"/>
      <c r="AJ580" s="349"/>
      <c r="AK580" s="349"/>
      <c r="AL580" s="349"/>
      <c r="AM580" s="349"/>
      <c r="AN580" s="349"/>
      <c r="AO580" s="349"/>
      <c r="AP580" s="349"/>
      <c r="AQ580" s="349"/>
      <c r="AR580" s="349"/>
      <c r="AS580" s="349"/>
      <c r="AT580" s="349"/>
      <c r="AU580" s="349"/>
      <c r="AV580" s="349"/>
      <c r="AW580" s="349"/>
      <c r="AX580" s="349"/>
      <c r="AY580" s="349"/>
      <c r="AZ580" s="349"/>
      <c r="BA580" s="349"/>
      <c r="BB580" s="349"/>
      <c r="BC580" s="349"/>
      <c r="BD580" s="349"/>
      <c r="BE580" s="349"/>
      <c r="BF580" s="349"/>
      <c r="BG580" s="349"/>
      <c r="BH580" s="349"/>
      <c r="BI580" s="349"/>
      <c r="BJ580" s="349"/>
      <c r="BK580" s="349"/>
      <c r="BL580" s="349"/>
      <c r="BM580" s="349"/>
      <c r="BN580" s="349"/>
      <c r="BO580" s="349"/>
      <c r="BP580" s="349"/>
      <c r="BQ580" s="349"/>
      <c r="BR580" s="349"/>
      <c r="BS580" s="349"/>
    </row>
    <row r="581" spans="1:71" x14ac:dyDescent="0.3">
      <c r="A581" s="349"/>
      <c r="B581" s="349"/>
      <c r="C581" s="349"/>
      <c r="D581" s="349"/>
      <c r="E581" s="349"/>
      <c r="F581" s="349"/>
      <c r="G581" s="349"/>
      <c r="H581" s="349"/>
      <c r="I581" s="349"/>
      <c r="J581" s="349"/>
      <c r="K581" s="349"/>
      <c r="L581" s="349"/>
      <c r="M581" s="349"/>
      <c r="N581" s="349"/>
      <c r="O581" s="349"/>
      <c r="P581" s="349"/>
      <c r="Q581" s="349"/>
      <c r="R581" s="349"/>
      <c r="S581" s="349"/>
      <c r="T581" s="349"/>
      <c r="U581" s="349"/>
      <c r="V581" s="349"/>
      <c r="W581" s="349"/>
      <c r="X581" s="349"/>
      <c r="Y581" s="349"/>
      <c r="Z581" s="349"/>
      <c r="AA581" s="349"/>
      <c r="AB581" s="349"/>
      <c r="AC581" s="349"/>
      <c r="AD581" s="349"/>
      <c r="AE581" s="349"/>
      <c r="AF581" s="349"/>
      <c r="AG581" s="349"/>
      <c r="AH581" s="349"/>
      <c r="AI581" s="349"/>
      <c r="AJ581" s="349"/>
      <c r="AK581" s="349"/>
      <c r="AL581" s="349"/>
      <c r="AM581" s="349"/>
      <c r="AN581" s="349"/>
      <c r="AO581" s="349"/>
      <c r="AP581" s="349"/>
      <c r="AQ581" s="349"/>
      <c r="AR581" s="349"/>
      <c r="AS581" s="349"/>
      <c r="AT581" s="349"/>
      <c r="AU581" s="349"/>
      <c r="AV581" s="349"/>
      <c r="AW581" s="349"/>
      <c r="AX581" s="349"/>
      <c r="AY581" s="349"/>
      <c r="AZ581" s="349"/>
      <c r="BA581" s="349"/>
      <c r="BB581" s="349"/>
      <c r="BC581" s="349"/>
      <c r="BD581" s="349"/>
      <c r="BE581" s="349"/>
      <c r="BF581" s="349"/>
      <c r="BG581" s="349"/>
      <c r="BH581" s="349"/>
      <c r="BI581" s="349"/>
      <c r="BJ581" s="349"/>
      <c r="BK581" s="349"/>
      <c r="BL581" s="349"/>
      <c r="BM581" s="349"/>
      <c r="BN581" s="349"/>
      <c r="BO581" s="349"/>
      <c r="BP581" s="349"/>
      <c r="BQ581" s="349"/>
      <c r="BR581" s="349"/>
      <c r="BS581" s="349"/>
    </row>
    <row r="582" spans="1:71" x14ac:dyDescent="0.3">
      <c r="A582" s="349"/>
      <c r="B582" s="349"/>
      <c r="C582" s="349"/>
      <c r="D582" s="349"/>
      <c r="E582" s="349"/>
      <c r="F582" s="349"/>
      <c r="G582" s="349"/>
      <c r="H582" s="349"/>
      <c r="I582" s="349"/>
      <c r="J582" s="349"/>
      <c r="K582" s="349"/>
      <c r="L582" s="349"/>
      <c r="M582" s="349"/>
      <c r="N582" s="349"/>
      <c r="O582" s="349"/>
      <c r="P582" s="349"/>
      <c r="Q582" s="349"/>
      <c r="R582" s="349"/>
      <c r="S582" s="349"/>
      <c r="T582" s="349"/>
      <c r="U582" s="349"/>
      <c r="V582" s="349"/>
      <c r="W582" s="349"/>
      <c r="X582" s="349"/>
      <c r="Y582" s="349"/>
      <c r="Z582" s="349"/>
      <c r="AA582" s="349"/>
      <c r="AB582" s="349"/>
      <c r="AC582" s="349"/>
      <c r="AD582" s="349"/>
      <c r="AE582" s="349"/>
      <c r="AF582" s="349"/>
      <c r="AG582" s="349"/>
      <c r="AH582" s="349"/>
      <c r="AI582" s="349"/>
      <c r="AJ582" s="349"/>
      <c r="AK582" s="349"/>
      <c r="AL582" s="349"/>
      <c r="AM582" s="349"/>
      <c r="AN582" s="349"/>
      <c r="AO582" s="349"/>
      <c r="AP582" s="349"/>
      <c r="AQ582" s="349"/>
      <c r="AR582" s="349"/>
      <c r="AS582" s="349"/>
      <c r="AT582" s="349"/>
      <c r="AU582" s="349"/>
      <c r="AV582" s="349"/>
      <c r="AW582" s="349"/>
      <c r="AX582" s="349"/>
      <c r="AY582" s="349"/>
      <c r="AZ582" s="349"/>
      <c r="BA582" s="349"/>
      <c r="BB582" s="349"/>
      <c r="BC582" s="349"/>
      <c r="BD582" s="349"/>
      <c r="BE582" s="349"/>
      <c r="BF582" s="349"/>
      <c r="BG582" s="349"/>
      <c r="BH582" s="349"/>
      <c r="BI582" s="349"/>
      <c r="BJ582" s="349"/>
      <c r="BK582" s="349"/>
      <c r="BL582" s="349"/>
      <c r="BM582" s="349"/>
      <c r="BN582" s="349"/>
      <c r="BO582" s="349"/>
      <c r="BP582" s="349"/>
      <c r="BQ582" s="349"/>
      <c r="BR582" s="349"/>
      <c r="BS582" s="349"/>
    </row>
    <row r="583" spans="1:71" x14ac:dyDescent="0.3">
      <c r="A583" s="349"/>
      <c r="B583" s="349"/>
      <c r="C583" s="349"/>
      <c r="D583" s="349"/>
      <c r="E583" s="349"/>
      <c r="F583" s="349"/>
      <c r="G583" s="349"/>
      <c r="H583" s="349"/>
      <c r="I583" s="349"/>
      <c r="J583" s="349"/>
      <c r="K583" s="349"/>
      <c r="L583" s="349"/>
      <c r="M583" s="349"/>
      <c r="N583" s="349"/>
      <c r="O583" s="349"/>
      <c r="P583" s="349"/>
      <c r="Q583" s="349"/>
      <c r="R583" s="349"/>
      <c r="S583" s="349"/>
      <c r="T583" s="349"/>
      <c r="U583" s="349"/>
      <c r="V583" s="349"/>
      <c r="W583" s="349"/>
      <c r="X583" s="349"/>
      <c r="Y583" s="349"/>
      <c r="Z583" s="349"/>
      <c r="AA583" s="349"/>
      <c r="AB583" s="349"/>
      <c r="AC583" s="349"/>
      <c r="AD583" s="349"/>
      <c r="AE583" s="349"/>
      <c r="AF583" s="349"/>
      <c r="AG583" s="349"/>
      <c r="AH583" s="349"/>
      <c r="AI583" s="349"/>
      <c r="AJ583" s="349"/>
      <c r="AK583" s="349"/>
      <c r="AL583" s="349"/>
      <c r="AM583" s="349"/>
      <c r="AN583" s="349"/>
      <c r="AO583" s="349"/>
      <c r="AP583" s="349"/>
      <c r="AQ583" s="349"/>
      <c r="AR583" s="349"/>
      <c r="AS583" s="349"/>
      <c r="AT583" s="349"/>
      <c r="AU583" s="349"/>
      <c r="AV583" s="349"/>
      <c r="AW583" s="349"/>
      <c r="AX583" s="349"/>
      <c r="AY583" s="349"/>
      <c r="AZ583" s="349"/>
      <c r="BA583" s="349"/>
      <c r="BB583" s="349"/>
      <c r="BC583" s="349"/>
      <c r="BD583" s="349"/>
      <c r="BE583" s="349"/>
      <c r="BF583" s="349"/>
      <c r="BG583" s="349"/>
      <c r="BH583" s="349"/>
      <c r="BI583" s="349"/>
      <c r="BJ583" s="349"/>
      <c r="BK583" s="349"/>
      <c r="BL583" s="349"/>
      <c r="BM583" s="349"/>
      <c r="BN583" s="349"/>
      <c r="BO583" s="349"/>
      <c r="BP583" s="349"/>
      <c r="BQ583" s="349"/>
      <c r="BR583" s="349"/>
      <c r="BS583" s="349"/>
    </row>
    <row r="584" spans="1:71" x14ac:dyDescent="0.3">
      <c r="A584" s="349"/>
      <c r="B584" s="349"/>
      <c r="C584" s="349"/>
      <c r="D584" s="349"/>
      <c r="E584" s="349"/>
      <c r="F584" s="349"/>
      <c r="G584" s="349"/>
      <c r="H584" s="349"/>
      <c r="I584" s="349"/>
      <c r="J584" s="349"/>
      <c r="K584" s="349"/>
      <c r="L584" s="349"/>
      <c r="M584" s="349"/>
      <c r="N584" s="349"/>
      <c r="O584" s="349"/>
      <c r="P584" s="349"/>
      <c r="Q584" s="349"/>
      <c r="R584" s="349"/>
      <c r="S584" s="349"/>
      <c r="T584" s="349"/>
      <c r="U584" s="349"/>
      <c r="V584" s="349"/>
      <c r="W584" s="349"/>
      <c r="X584" s="349"/>
      <c r="Y584" s="349"/>
      <c r="Z584" s="349"/>
      <c r="AA584" s="349"/>
      <c r="AB584" s="349"/>
      <c r="AC584" s="349"/>
      <c r="AD584" s="349"/>
      <c r="AE584" s="349"/>
      <c r="AF584" s="349"/>
      <c r="AG584" s="349"/>
      <c r="AH584" s="349"/>
      <c r="AI584" s="349"/>
      <c r="AJ584" s="349"/>
      <c r="AK584" s="349"/>
      <c r="AL584" s="349"/>
      <c r="AM584" s="349"/>
      <c r="AN584" s="349"/>
      <c r="AO584" s="349"/>
      <c r="AP584" s="349"/>
      <c r="AQ584" s="349"/>
      <c r="AR584" s="349"/>
      <c r="AS584" s="349"/>
      <c r="AT584" s="349"/>
      <c r="AU584" s="349"/>
      <c r="AV584" s="349"/>
      <c r="AW584" s="349"/>
      <c r="AX584" s="349"/>
      <c r="AY584" s="349"/>
      <c r="AZ584" s="349"/>
      <c r="BA584" s="349"/>
      <c r="BB584" s="349"/>
      <c r="BC584" s="349"/>
      <c r="BD584" s="349"/>
      <c r="BE584" s="349"/>
      <c r="BF584" s="349"/>
      <c r="BG584" s="349"/>
      <c r="BH584" s="349"/>
      <c r="BI584" s="349"/>
      <c r="BJ584" s="349"/>
      <c r="BK584" s="349"/>
      <c r="BL584" s="349"/>
      <c r="BM584" s="349"/>
      <c r="BN584" s="349"/>
      <c r="BO584" s="349"/>
      <c r="BP584" s="349"/>
      <c r="BQ584" s="349"/>
      <c r="BR584" s="349"/>
      <c r="BS584" s="349"/>
    </row>
    <row r="585" spans="1:71" x14ac:dyDescent="0.3">
      <c r="A585" s="349"/>
      <c r="B585" s="349"/>
      <c r="C585" s="349"/>
      <c r="D585" s="349"/>
      <c r="E585" s="349"/>
      <c r="F585" s="349"/>
      <c r="G585" s="349"/>
      <c r="H585" s="349"/>
      <c r="I585" s="349"/>
      <c r="J585" s="349"/>
      <c r="K585" s="349"/>
      <c r="L585" s="349"/>
      <c r="M585" s="349"/>
      <c r="N585" s="349"/>
      <c r="O585" s="349"/>
      <c r="P585" s="349"/>
      <c r="Q585" s="349"/>
      <c r="R585" s="349"/>
      <c r="S585" s="349"/>
      <c r="T585" s="349"/>
      <c r="U585" s="349"/>
      <c r="V585" s="349"/>
      <c r="W585" s="349"/>
      <c r="X585" s="349"/>
      <c r="Y585" s="349"/>
      <c r="Z585" s="349"/>
      <c r="AA585" s="349"/>
      <c r="AB585" s="349"/>
      <c r="AC585" s="349"/>
      <c r="AD585" s="349"/>
      <c r="AE585" s="349"/>
      <c r="AF585" s="349"/>
      <c r="AG585" s="349"/>
      <c r="AH585" s="349"/>
      <c r="AI585" s="349"/>
      <c r="AJ585" s="349"/>
      <c r="AK585" s="349"/>
      <c r="AL585" s="349"/>
      <c r="AM585" s="349"/>
      <c r="AN585" s="349"/>
      <c r="AO585" s="349"/>
      <c r="AP585" s="349"/>
      <c r="AQ585" s="349"/>
      <c r="AR585" s="349"/>
      <c r="AS585" s="349"/>
      <c r="AT585" s="349"/>
      <c r="AU585" s="349"/>
      <c r="AV585" s="349"/>
      <c r="AW585" s="349"/>
      <c r="AX585" s="349"/>
      <c r="AY585" s="349"/>
      <c r="AZ585" s="349"/>
      <c r="BA585" s="349"/>
      <c r="BB585" s="349"/>
      <c r="BC585" s="349"/>
      <c r="BD585" s="349"/>
      <c r="BE585" s="349"/>
      <c r="BF585" s="349"/>
      <c r="BG585" s="349"/>
      <c r="BH585" s="349"/>
      <c r="BI585" s="349"/>
      <c r="BJ585" s="349"/>
      <c r="BK585" s="349"/>
      <c r="BL585" s="349"/>
      <c r="BM585" s="349"/>
      <c r="BN585" s="349"/>
      <c r="BO585" s="349"/>
      <c r="BP585" s="349"/>
      <c r="BQ585" s="349"/>
      <c r="BR585" s="349"/>
      <c r="BS585" s="349"/>
    </row>
    <row r="586" spans="1:71" x14ac:dyDescent="0.3">
      <c r="A586" s="349"/>
      <c r="B586" s="349"/>
      <c r="C586" s="349"/>
      <c r="D586" s="349"/>
      <c r="E586" s="349"/>
      <c r="F586" s="349"/>
      <c r="G586" s="349"/>
      <c r="H586" s="349"/>
      <c r="I586" s="349"/>
      <c r="J586" s="349"/>
      <c r="K586" s="349"/>
      <c r="L586" s="349"/>
      <c r="M586" s="349"/>
      <c r="N586" s="349"/>
      <c r="O586" s="349"/>
      <c r="P586" s="349"/>
      <c r="Q586" s="349"/>
      <c r="R586" s="349"/>
      <c r="S586" s="349"/>
      <c r="T586" s="349"/>
      <c r="U586" s="349"/>
      <c r="V586" s="349"/>
      <c r="W586" s="349"/>
      <c r="X586" s="349"/>
      <c r="Y586" s="349"/>
      <c r="Z586" s="349"/>
      <c r="AA586" s="349"/>
      <c r="AB586" s="349"/>
      <c r="AC586" s="349"/>
      <c r="AD586" s="349"/>
      <c r="AE586" s="349"/>
      <c r="AF586" s="349"/>
      <c r="AG586" s="349"/>
      <c r="AH586" s="349"/>
      <c r="AI586" s="349"/>
      <c r="AJ586" s="349"/>
      <c r="AK586" s="349"/>
      <c r="AL586" s="349"/>
      <c r="AM586" s="349"/>
      <c r="AN586" s="349"/>
      <c r="AO586" s="349"/>
      <c r="AP586" s="349"/>
      <c r="AQ586" s="349"/>
      <c r="AR586" s="349"/>
      <c r="AS586" s="349"/>
      <c r="AT586" s="349"/>
      <c r="AU586" s="349"/>
      <c r="AV586" s="349"/>
      <c r="AW586" s="349"/>
      <c r="AX586" s="349"/>
      <c r="AY586" s="349"/>
      <c r="AZ586" s="349"/>
      <c r="BA586" s="349"/>
      <c r="BB586" s="349"/>
      <c r="BC586" s="349"/>
      <c r="BD586" s="349"/>
      <c r="BE586" s="349"/>
      <c r="BF586" s="349"/>
      <c r="BG586" s="349"/>
      <c r="BH586" s="349"/>
      <c r="BI586" s="349"/>
      <c r="BJ586" s="349"/>
      <c r="BK586" s="349"/>
      <c r="BL586" s="349"/>
      <c r="BM586" s="349"/>
      <c r="BN586" s="349"/>
      <c r="BO586" s="349"/>
      <c r="BP586" s="349"/>
      <c r="BQ586" s="349"/>
      <c r="BR586" s="349"/>
      <c r="BS586" s="349"/>
    </row>
    <row r="587" spans="1:71" x14ac:dyDescent="0.3">
      <c r="A587" s="349"/>
      <c r="B587" s="349"/>
      <c r="C587" s="349"/>
      <c r="D587" s="349"/>
      <c r="E587" s="349"/>
      <c r="F587" s="349"/>
      <c r="G587" s="349"/>
      <c r="H587" s="349"/>
      <c r="I587" s="349"/>
      <c r="J587" s="349"/>
      <c r="K587" s="349"/>
      <c r="L587" s="349"/>
      <c r="M587" s="349"/>
      <c r="N587" s="349"/>
      <c r="O587" s="349"/>
      <c r="P587" s="349"/>
      <c r="Q587" s="349"/>
      <c r="R587" s="349"/>
      <c r="S587" s="349"/>
      <c r="T587" s="349"/>
      <c r="U587" s="349"/>
      <c r="V587" s="349"/>
      <c r="W587" s="349"/>
      <c r="X587" s="349"/>
      <c r="Y587" s="349"/>
      <c r="Z587" s="349"/>
      <c r="AA587" s="349"/>
      <c r="AB587" s="349"/>
      <c r="AC587" s="349"/>
      <c r="AD587" s="349"/>
      <c r="AE587" s="349"/>
      <c r="AF587" s="349"/>
      <c r="AG587" s="349"/>
      <c r="AH587" s="349"/>
      <c r="AI587" s="349"/>
      <c r="AJ587" s="349"/>
      <c r="AK587" s="349"/>
      <c r="AL587" s="349"/>
      <c r="AM587" s="349"/>
      <c r="AN587" s="349"/>
      <c r="AO587" s="349"/>
      <c r="AP587" s="349"/>
      <c r="AQ587" s="349"/>
      <c r="AR587" s="349"/>
      <c r="AS587" s="349"/>
      <c r="AT587" s="349"/>
      <c r="AU587" s="349"/>
      <c r="AV587" s="349"/>
      <c r="AW587" s="349"/>
      <c r="AX587" s="349"/>
      <c r="AY587" s="349"/>
      <c r="AZ587" s="349"/>
      <c r="BA587" s="349"/>
      <c r="BB587" s="349"/>
      <c r="BC587" s="349"/>
      <c r="BD587" s="349"/>
      <c r="BE587" s="349"/>
      <c r="BF587" s="349"/>
      <c r="BG587" s="349"/>
      <c r="BH587" s="349"/>
      <c r="BI587" s="349"/>
      <c r="BJ587" s="349"/>
      <c r="BK587" s="349"/>
      <c r="BL587" s="349"/>
      <c r="BM587" s="349"/>
      <c r="BN587" s="349"/>
      <c r="BO587" s="349"/>
      <c r="BP587" s="349"/>
      <c r="BQ587" s="349"/>
      <c r="BR587" s="349"/>
      <c r="BS587" s="349"/>
    </row>
    <row r="588" spans="1:71" x14ac:dyDescent="0.3">
      <c r="A588" s="349"/>
      <c r="B588" s="349"/>
      <c r="C588" s="349"/>
      <c r="D588" s="349"/>
      <c r="E588" s="349"/>
      <c r="F588" s="349"/>
      <c r="G588" s="349"/>
      <c r="H588" s="349"/>
      <c r="I588" s="349"/>
      <c r="J588" s="349"/>
      <c r="K588" s="349"/>
      <c r="L588" s="349"/>
      <c r="M588" s="349"/>
      <c r="N588" s="349"/>
      <c r="O588" s="349"/>
      <c r="P588" s="349"/>
      <c r="Q588" s="349"/>
      <c r="R588" s="349"/>
      <c r="S588" s="349"/>
      <c r="T588" s="349"/>
      <c r="U588" s="349"/>
      <c r="V588" s="349"/>
      <c r="W588" s="349"/>
      <c r="X588" s="349"/>
      <c r="Y588" s="349"/>
      <c r="Z588" s="349"/>
      <c r="AA588" s="349"/>
      <c r="AB588" s="349"/>
      <c r="AC588" s="349"/>
      <c r="AD588" s="349"/>
      <c r="AE588" s="349"/>
      <c r="AF588" s="349"/>
      <c r="AG588" s="349"/>
      <c r="AH588" s="349"/>
      <c r="AI588" s="349"/>
      <c r="AJ588" s="349"/>
      <c r="AK588" s="349"/>
      <c r="AL588" s="349"/>
      <c r="AM588" s="349"/>
      <c r="AN588" s="349"/>
      <c r="AO588" s="349"/>
      <c r="AP588" s="349"/>
      <c r="AQ588" s="349"/>
      <c r="AR588" s="349"/>
      <c r="AS588" s="349"/>
      <c r="AT588" s="349"/>
      <c r="AU588" s="349"/>
      <c r="AV588" s="349"/>
      <c r="AW588" s="349"/>
      <c r="AX588" s="349"/>
      <c r="AY588" s="349"/>
      <c r="AZ588" s="349"/>
      <c r="BA588" s="349"/>
      <c r="BB588" s="349"/>
      <c r="BC588" s="349"/>
      <c r="BD588" s="349"/>
      <c r="BE588" s="349"/>
      <c r="BF588" s="349"/>
      <c r="BG588" s="349"/>
      <c r="BH588" s="349"/>
      <c r="BI588" s="349"/>
      <c r="BJ588" s="349"/>
      <c r="BK588" s="349"/>
      <c r="BL588" s="349"/>
      <c r="BM588" s="349"/>
      <c r="BN588" s="349"/>
      <c r="BO588" s="349"/>
      <c r="BP588" s="349"/>
      <c r="BQ588" s="349"/>
      <c r="BR588" s="349"/>
      <c r="BS588" s="349"/>
    </row>
    <row r="589" spans="1:71" x14ac:dyDescent="0.3">
      <c r="A589" s="349"/>
      <c r="B589" s="349"/>
      <c r="C589" s="349"/>
      <c r="D589" s="349"/>
      <c r="E589" s="349"/>
      <c r="F589" s="349"/>
      <c r="G589" s="349"/>
      <c r="H589" s="349"/>
      <c r="I589" s="349"/>
      <c r="J589" s="349"/>
      <c r="K589" s="349"/>
      <c r="L589" s="349"/>
      <c r="M589" s="349"/>
      <c r="N589" s="349"/>
      <c r="O589" s="349"/>
      <c r="P589" s="349"/>
      <c r="Q589" s="349"/>
      <c r="R589" s="349"/>
      <c r="S589" s="349"/>
      <c r="T589" s="349"/>
      <c r="U589" s="349"/>
      <c r="V589" s="349"/>
      <c r="W589" s="349"/>
      <c r="X589" s="349"/>
      <c r="Y589" s="349"/>
      <c r="Z589" s="349"/>
      <c r="AA589" s="349"/>
      <c r="AB589" s="349"/>
      <c r="AC589" s="349"/>
      <c r="AD589" s="349"/>
      <c r="AE589" s="349"/>
      <c r="AF589" s="349"/>
      <c r="AG589" s="349"/>
      <c r="AH589" s="349"/>
      <c r="AI589" s="349"/>
      <c r="AJ589" s="349"/>
      <c r="AK589" s="349"/>
      <c r="AL589" s="349"/>
      <c r="AM589" s="349"/>
      <c r="AN589" s="349"/>
      <c r="AO589" s="349"/>
      <c r="AP589" s="349"/>
      <c r="AQ589" s="349"/>
      <c r="AR589" s="349"/>
      <c r="AS589" s="349"/>
      <c r="AT589" s="349"/>
      <c r="AU589" s="349"/>
      <c r="AV589" s="349"/>
      <c r="AW589" s="349"/>
      <c r="AX589" s="349"/>
      <c r="AY589" s="349"/>
      <c r="AZ589" s="349"/>
      <c r="BA589" s="349"/>
      <c r="BB589" s="349"/>
      <c r="BC589" s="349"/>
      <c r="BD589" s="349"/>
      <c r="BE589" s="349"/>
      <c r="BF589" s="349"/>
      <c r="BG589" s="349"/>
      <c r="BH589" s="349"/>
      <c r="BI589" s="349"/>
      <c r="BJ589" s="349"/>
      <c r="BK589" s="349"/>
      <c r="BL589" s="349"/>
      <c r="BM589" s="349"/>
      <c r="BN589" s="349"/>
      <c r="BO589" s="349"/>
      <c r="BP589" s="349"/>
      <c r="BQ589" s="349"/>
      <c r="BR589" s="349"/>
      <c r="BS589" s="349"/>
    </row>
    <row r="590" spans="1:71" x14ac:dyDescent="0.3">
      <c r="A590" s="349"/>
      <c r="B590" s="349"/>
      <c r="C590" s="349"/>
      <c r="D590" s="349"/>
      <c r="E590" s="349"/>
      <c r="F590" s="349"/>
      <c r="G590" s="349"/>
      <c r="H590" s="349"/>
      <c r="I590" s="349"/>
      <c r="J590" s="349"/>
      <c r="K590" s="349"/>
      <c r="L590" s="349"/>
      <c r="M590" s="349"/>
      <c r="N590" s="349"/>
      <c r="O590" s="349"/>
      <c r="P590" s="349"/>
      <c r="Q590" s="349"/>
      <c r="R590" s="349"/>
      <c r="S590" s="349"/>
      <c r="T590" s="349"/>
      <c r="U590" s="349"/>
      <c r="V590" s="349"/>
      <c r="W590" s="349"/>
      <c r="X590" s="349"/>
      <c r="Y590" s="349"/>
      <c r="Z590" s="349"/>
      <c r="AA590" s="349"/>
      <c r="AB590" s="349"/>
      <c r="AC590" s="349"/>
      <c r="AD590" s="349"/>
      <c r="AE590" s="349"/>
      <c r="AF590" s="349"/>
      <c r="AG590" s="349"/>
      <c r="AH590" s="349"/>
      <c r="AI590" s="349"/>
      <c r="AJ590" s="349"/>
      <c r="AK590" s="349"/>
      <c r="AL590" s="349"/>
      <c r="AM590" s="349"/>
      <c r="AN590" s="349"/>
      <c r="AO590" s="349"/>
      <c r="AP590" s="349"/>
      <c r="AQ590" s="349"/>
      <c r="AR590" s="349"/>
      <c r="AS590" s="349"/>
      <c r="AT590" s="349"/>
      <c r="AU590" s="349"/>
      <c r="AV590" s="349"/>
      <c r="AW590" s="349"/>
      <c r="AX590" s="349"/>
      <c r="AY590" s="349"/>
      <c r="AZ590" s="349"/>
      <c r="BA590" s="349"/>
      <c r="BB590" s="349"/>
      <c r="BC590" s="349"/>
      <c r="BD590" s="349"/>
      <c r="BE590" s="349"/>
      <c r="BF590" s="349"/>
      <c r="BG590" s="349"/>
      <c r="BH590" s="349"/>
      <c r="BI590" s="349"/>
      <c r="BJ590" s="349"/>
      <c r="BK590" s="349"/>
      <c r="BL590" s="349"/>
      <c r="BM590" s="349"/>
      <c r="BN590" s="349"/>
      <c r="BO590" s="349"/>
      <c r="BP590" s="349"/>
      <c r="BQ590" s="349"/>
      <c r="BR590" s="349"/>
      <c r="BS590" s="349"/>
    </row>
    <row r="591" spans="1:71" x14ac:dyDescent="0.3">
      <c r="A591" s="349"/>
      <c r="B591" s="349"/>
      <c r="C591" s="349"/>
      <c r="D591" s="349"/>
      <c r="E591" s="349"/>
      <c r="F591" s="349"/>
      <c r="G591" s="349"/>
      <c r="H591" s="349"/>
      <c r="I591" s="349"/>
      <c r="J591" s="349"/>
      <c r="K591" s="349"/>
      <c r="L591" s="349"/>
      <c r="M591" s="349"/>
      <c r="N591" s="349"/>
      <c r="O591" s="349"/>
      <c r="P591" s="349"/>
      <c r="Q591" s="349"/>
      <c r="R591" s="349"/>
      <c r="S591" s="349"/>
      <c r="T591" s="349"/>
      <c r="U591" s="349"/>
      <c r="V591" s="349"/>
      <c r="W591" s="349"/>
      <c r="X591" s="349"/>
      <c r="Y591" s="349"/>
      <c r="Z591" s="349"/>
      <c r="AA591" s="349"/>
      <c r="AB591" s="349"/>
      <c r="AC591" s="349"/>
      <c r="AD591" s="349"/>
      <c r="AE591" s="349"/>
      <c r="AF591" s="349"/>
      <c r="AG591" s="349"/>
      <c r="AH591" s="349"/>
      <c r="AI591" s="349"/>
      <c r="AJ591" s="349"/>
      <c r="AK591" s="349"/>
      <c r="AL591" s="349"/>
      <c r="AM591" s="349"/>
      <c r="AN591" s="349"/>
      <c r="AO591" s="349"/>
      <c r="AP591" s="349"/>
      <c r="AQ591" s="349"/>
      <c r="AR591" s="349"/>
      <c r="AS591" s="349"/>
      <c r="AT591" s="349"/>
      <c r="AU591" s="349"/>
      <c r="AV591" s="349"/>
      <c r="AW591" s="349"/>
      <c r="AX591" s="349"/>
      <c r="AY591" s="349"/>
      <c r="AZ591" s="349"/>
      <c r="BA591" s="349"/>
      <c r="BB591" s="349"/>
      <c r="BC591" s="349"/>
      <c r="BD591" s="349"/>
      <c r="BE591" s="349"/>
      <c r="BF591" s="349"/>
      <c r="BG591" s="349"/>
      <c r="BH591" s="349"/>
      <c r="BI591" s="349"/>
      <c r="BJ591" s="349"/>
      <c r="BK591" s="349"/>
      <c r="BL591" s="349"/>
      <c r="BM591" s="349"/>
      <c r="BN591" s="349"/>
      <c r="BO591" s="349"/>
      <c r="BP591" s="349"/>
      <c r="BQ591" s="349"/>
      <c r="BR591" s="349"/>
      <c r="BS591" s="349"/>
    </row>
    <row r="592" spans="1:71" x14ac:dyDescent="0.3">
      <c r="A592" s="349"/>
      <c r="B592" s="349"/>
      <c r="C592" s="349"/>
      <c r="D592" s="349"/>
      <c r="E592" s="349"/>
      <c r="F592" s="349"/>
      <c r="G592" s="349"/>
      <c r="H592" s="349"/>
      <c r="I592" s="349"/>
      <c r="J592" s="349"/>
      <c r="K592" s="349"/>
      <c r="L592" s="349"/>
      <c r="M592" s="349"/>
      <c r="N592" s="349"/>
      <c r="O592" s="349"/>
      <c r="P592" s="349"/>
      <c r="Q592" s="349"/>
      <c r="R592" s="349"/>
      <c r="S592" s="349"/>
      <c r="T592" s="349"/>
      <c r="U592" s="349"/>
      <c r="V592" s="349"/>
      <c r="W592" s="349"/>
      <c r="X592" s="349"/>
      <c r="Y592" s="349"/>
      <c r="Z592" s="349"/>
      <c r="AA592" s="349"/>
      <c r="AB592" s="349"/>
      <c r="AC592" s="349"/>
      <c r="AD592" s="349"/>
      <c r="AE592" s="349"/>
      <c r="AF592" s="349"/>
      <c r="AG592" s="349"/>
      <c r="AH592" s="349"/>
      <c r="AI592" s="349"/>
      <c r="AJ592" s="349"/>
      <c r="AK592" s="349"/>
      <c r="AL592" s="349"/>
      <c r="AM592" s="349"/>
      <c r="AN592" s="349"/>
      <c r="AO592" s="349"/>
      <c r="AP592" s="349"/>
      <c r="AQ592" s="349"/>
      <c r="AR592" s="349"/>
      <c r="AS592" s="349"/>
      <c r="AT592" s="349"/>
      <c r="AU592" s="349"/>
      <c r="AV592" s="349"/>
      <c r="AW592" s="349"/>
      <c r="AX592" s="349"/>
      <c r="AY592" s="349"/>
      <c r="AZ592" s="349"/>
      <c r="BA592" s="349"/>
      <c r="BB592" s="349"/>
      <c r="BC592" s="349"/>
      <c r="BD592" s="349"/>
      <c r="BE592" s="349"/>
      <c r="BF592" s="349"/>
      <c r="BG592" s="349"/>
      <c r="BH592" s="349"/>
      <c r="BI592" s="349"/>
      <c r="BJ592" s="349"/>
      <c r="BK592" s="349"/>
      <c r="BL592" s="349"/>
      <c r="BM592" s="349"/>
      <c r="BN592" s="349"/>
      <c r="BO592" s="349"/>
      <c r="BP592" s="349"/>
      <c r="BQ592" s="349"/>
      <c r="BR592" s="349"/>
      <c r="BS592" s="349"/>
    </row>
    <row r="593" spans="1:71" x14ac:dyDescent="0.3">
      <c r="A593" s="349"/>
      <c r="B593" s="349"/>
      <c r="C593" s="349"/>
      <c r="D593" s="349"/>
      <c r="E593" s="349"/>
      <c r="F593" s="349"/>
      <c r="G593" s="349"/>
      <c r="H593" s="349"/>
      <c r="I593" s="349"/>
      <c r="J593" s="349"/>
      <c r="K593" s="349"/>
      <c r="L593" s="349"/>
      <c r="M593" s="349"/>
      <c r="N593" s="349"/>
      <c r="O593" s="349"/>
      <c r="P593" s="349"/>
      <c r="Q593" s="349"/>
      <c r="R593" s="349"/>
      <c r="S593" s="349"/>
      <c r="T593" s="349"/>
      <c r="U593" s="349"/>
      <c r="V593" s="349"/>
      <c r="W593" s="349"/>
      <c r="X593" s="349"/>
      <c r="Y593" s="349"/>
      <c r="Z593" s="349"/>
      <c r="AA593" s="349"/>
      <c r="AB593" s="349"/>
      <c r="AC593" s="349"/>
      <c r="AD593" s="349"/>
      <c r="AE593" s="349"/>
      <c r="AF593" s="349"/>
      <c r="AG593" s="349"/>
      <c r="AH593" s="349"/>
      <c r="AI593" s="349"/>
      <c r="AJ593" s="349"/>
      <c r="AK593" s="349"/>
      <c r="AL593" s="349"/>
      <c r="AM593" s="349"/>
      <c r="AN593" s="349"/>
      <c r="AO593" s="349"/>
      <c r="AP593" s="349"/>
      <c r="AQ593" s="349"/>
      <c r="AR593" s="349"/>
      <c r="AS593" s="349"/>
      <c r="AT593" s="349"/>
      <c r="AU593" s="349"/>
      <c r="AV593" s="349"/>
      <c r="AW593" s="349"/>
      <c r="AX593" s="349"/>
      <c r="AY593" s="349"/>
      <c r="AZ593" s="349"/>
      <c r="BA593" s="349"/>
      <c r="BB593" s="349"/>
      <c r="BC593" s="349"/>
      <c r="BD593" s="349"/>
      <c r="BE593" s="349"/>
      <c r="BF593" s="349"/>
      <c r="BG593" s="349"/>
      <c r="BH593" s="349"/>
      <c r="BI593" s="349"/>
      <c r="BJ593" s="349"/>
      <c r="BK593" s="349"/>
      <c r="BL593" s="349"/>
      <c r="BM593" s="349"/>
      <c r="BN593" s="349"/>
      <c r="BO593" s="349"/>
      <c r="BP593" s="349"/>
      <c r="BQ593" s="349"/>
      <c r="BR593" s="349"/>
      <c r="BS593" s="349"/>
    </row>
    <row r="594" spans="1:71" x14ac:dyDescent="0.3">
      <c r="A594" s="349"/>
      <c r="B594" s="349"/>
      <c r="C594" s="349"/>
      <c r="D594" s="349"/>
      <c r="E594" s="349"/>
      <c r="F594" s="349"/>
      <c r="G594" s="349"/>
      <c r="H594" s="349"/>
      <c r="I594" s="349"/>
      <c r="J594" s="349"/>
      <c r="K594" s="349"/>
      <c r="L594" s="349"/>
      <c r="M594" s="349"/>
      <c r="N594" s="349"/>
      <c r="O594" s="349"/>
      <c r="P594" s="349"/>
      <c r="Q594" s="349"/>
      <c r="R594" s="349"/>
      <c r="S594" s="349"/>
      <c r="T594" s="349"/>
      <c r="U594" s="349"/>
      <c r="V594" s="349"/>
      <c r="W594" s="349"/>
      <c r="X594" s="349"/>
      <c r="Y594" s="349"/>
      <c r="Z594" s="349"/>
      <c r="AA594" s="349"/>
      <c r="AB594" s="349"/>
      <c r="AC594" s="349"/>
      <c r="AD594" s="349"/>
      <c r="AE594" s="349"/>
      <c r="AF594" s="349"/>
      <c r="AG594" s="349"/>
      <c r="AH594" s="349"/>
      <c r="AI594" s="349"/>
      <c r="AJ594" s="349"/>
      <c r="AK594" s="349"/>
      <c r="AL594" s="349"/>
      <c r="AM594" s="349"/>
      <c r="AN594" s="349"/>
      <c r="AO594" s="349"/>
      <c r="AP594" s="349"/>
      <c r="AQ594" s="349"/>
      <c r="AR594" s="349"/>
      <c r="AS594" s="349"/>
      <c r="AT594" s="349"/>
      <c r="AU594" s="349"/>
      <c r="AV594" s="349"/>
      <c r="AW594" s="349"/>
      <c r="AX594" s="349"/>
      <c r="AY594" s="349"/>
      <c r="AZ594" s="349"/>
      <c r="BA594" s="349"/>
      <c r="BB594" s="349"/>
      <c r="BC594" s="349"/>
      <c r="BD594" s="349"/>
      <c r="BE594" s="349"/>
      <c r="BF594" s="349"/>
      <c r="BG594" s="349"/>
      <c r="BH594" s="349"/>
      <c r="BI594" s="349"/>
      <c r="BJ594" s="349"/>
      <c r="BK594" s="349"/>
      <c r="BL594" s="349"/>
      <c r="BM594" s="349"/>
      <c r="BN594" s="349"/>
      <c r="BO594" s="349"/>
      <c r="BP594" s="349"/>
      <c r="BQ594" s="349"/>
      <c r="BR594" s="349"/>
      <c r="BS594" s="349"/>
    </row>
    <row r="595" spans="1:71" x14ac:dyDescent="0.3">
      <c r="A595" s="349"/>
      <c r="B595" s="349"/>
      <c r="C595" s="349"/>
      <c r="D595" s="349"/>
      <c r="E595" s="349"/>
      <c r="F595" s="349"/>
      <c r="G595" s="349"/>
      <c r="H595" s="349"/>
      <c r="I595" s="349"/>
      <c r="J595" s="349"/>
      <c r="K595" s="349"/>
      <c r="L595" s="349"/>
      <c r="M595" s="349"/>
      <c r="N595" s="349"/>
      <c r="O595" s="349"/>
      <c r="P595" s="349"/>
      <c r="Q595" s="349"/>
      <c r="R595" s="349"/>
      <c r="S595" s="349"/>
      <c r="T595" s="349"/>
      <c r="U595" s="349"/>
      <c r="V595" s="349"/>
      <c r="W595" s="349"/>
      <c r="X595" s="349"/>
      <c r="Y595" s="349"/>
      <c r="Z595" s="349"/>
      <c r="AA595" s="349"/>
      <c r="AB595" s="349"/>
      <c r="AC595" s="349"/>
      <c r="AD595" s="349"/>
      <c r="AE595" s="349"/>
      <c r="AF595" s="349"/>
      <c r="AG595" s="349"/>
      <c r="AH595" s="349"/>
      <c r="AI595" s="349"/>
      <c r="AJ595" s="349"/>
      <c r="AK595" s="349"/>
      <c r="AL595" s="349"/>
      <c r="AM595" s="349"/>
      <c r="AN595" s="349"/>
      <c r="AO595" s="349"/>
      <c r="AP595" s="349"/>
      <c r="AQ595" s="349"/>
      <c r="AR595" s="349"/>
      <c r="AS595" s="349"/>
      <c r="AT595" s="349"/>
      <c r="AU595" s="349"/>
      <c r="AV595" s="349"/>
      <c r="AW595" s="349"/>
      <c r="AX595" s="349"/>
      <c r="AY595" s="349"/>
      <c r="AZ595" s="349"/>
      <c r="BA595" s="349"/>
      <c r="BB595" s="349"/>
      <c r="BC595" s="349"/>
      <c r="BD595" s="349"/>
      <c r="BE595" s="349"/>
      <c r="BF595" s="349"/>
      <c r="BG595" s="349"/>
      <c r="BH595" s="349"/>
      <c r="BI595" s="349"/>
      <c r="BJ595" s="349"/>
      <c r="BK595" s="349"/>
      <c r="BL595" s="349"/>
      <c r="BM595" s="349"/>
      <c r="BN595" s="349"/>
      <c r="BO595" s="349"/>
      <c r="BP595" s="349"/>
      <c r="BQ595" s="349"/>
      <c r="BR595" s="349"/>
      <c r="BS595" s="349"/>
    </row>
    <row r="596" spans="1:71" x14ac:dyDescent="0.3">
      <c r="A596" s="349"/>
      <c r="B596" s="349"/>
      <c r="C596" s="349"/>
      <c r="D596" s="349"/>
      <c r="E596" s="349"/>
      <c r="F596" s="349"/>
      <c r="G596" s="349"/>
      <c r="H596" s="349"/>
      <c r="I596" s="349"/>
      <c r="J596" s="349"/>
      <c r="K596" s="349"/>
      <c r="L596" s="349"/>
      <c r="M596" s="349"/>
      <c r="N596" s="349"/>
      <c r="O596" s="349"/>
      <c r="P596" s="349"/>
      <c r="Q596" s="349"/>
      <c r="R596" s="349"/>
      <c r="S596" s="349"/>
      <c r="T596" s="349"/>
      <c r="U596" s="349"/>
      <c r="V596" s="349"/>
      <c r="W596" s="349"/>
      <c r="X596" s="349"/>
      <c r="Y596" s="349"/>
      <c r="Z596" s="349"/>
      <c r="AA596" s="349"/>
      <c r="AB596" s="349"/>
      <c r="AC596" s="349"/>
      <c r="AD596" s="349"/>
      <c r="AE596" s="349"/>
      <c r="AF596" s="349"/>
      <c r="AG596" s="349"/>
      <c r="AH596" s="349"/>
      <c r="AI596" s="349"/>
      <c r="AJ596" s="349"/>
      <c r="AK596" s="349"/>
      <c r="AL596" s="349"/>
      <c r="AM596" s="349"/>
      <c r="AN596" s="349"/>
      <c r="AO596" s="349"/>
      <c r="AP596" s="349"/>
      <c r="AQ596" s="349"/>
      <c r="AR596" s="349"/>
      <c r="AS596" s="349"/>
      <c r="AT596" s="349"/>
      <c r="AU596" s="349"/>
      <c r="AV596" s="349"/>
      <c r="AW596" s="349"/>
      <c r="AX596" s="349"/>
      <c r="AY596" s="349"/>
      <c r="AZ596" s="349"/>
      <c r="BA596" s="349"/>
      <c r="BB596" s="349"/>
      <c r="BC596" s="349"/>
      <c r="BD596" s="349"/>
      <c r="BE596" s="349"/>
      <c r="BF596" s="349"/>
      <c r="BG596" s="349"/>
      <c r="BH596" s="349"/>
      <c r="BI596" s="349"/>
      <c r="BJ596" s="349"/>
      <c r="BK596" s="349"/>
      <c r="BL596" s="349"/>
      <c r="BM596" s="349"/>
      <c r="BN596" s="349"/>
      <c r="BO596" s="349"/>
      <c r="BP596" s="349"/>
      <c r="BQ596" s="349"/>
      <c r="BR596" s="349"/>
      <c r="BS596" s="349"/>
    </row>
    <row r="597" spans="1:71" x14ac:dyDescent="0.3">
      <c r="A597" s="349"/>
      <c r="B597" s="349"/>
      <c r="C597" s="349"/>
      <c r="D597" s="349"/>
      <c r="E597" s="349"/>
      <c r="F597" s="349"/>
      <c r="G597" s="349"/>
      <c r="H597" s="349"/>
      <c r="I597" s="349"/>
      <c r="J597" s="349"/>
      <c r="K597" s="349"/>
      <c r="L597" s="349"/>
      <c r="M597" s="349"/>
      <c r="N597" s="349"/>
      <c r="O597" s="349"/>
      <c r="P597" s="349"/>
      <c r="Q597" s="349"/>
      <c r="R597" s="349"/>
      <c r="S597" s="349"/>
      <c r="T597" s="349"/>
      <c r="U597" s="349"/>
      <c r="V597" s="349"/>
      <c r="W597" s="349"/>
      <c r="X597" s="349"/>
      <c r="Y597" s="349"/>
      <c r="Z597" s="349"/>
      <c r="AA597" s="349"/>
      <c r="AB597" s="349"/>
      <c r="AC597" s="349"/>
      <c r="AD597" s="349"/>
      <c r="AE597" s="349"/>
      <c r="AF597" s="349"/>
      <c r="AG597" s="349"/>
      <c r="AH597" s="349"/>
      <c r="AI597" s="349"/>
      <c r="AJ597" s="349"/>
      <c r="AK597" s="349"/>
      <c r="AL597" s="349"/>
      <c r="AM597" s="349"/>
      <c r="AN597" s="349"/>
      <c r="AO597" s="349"/>
      <c r="AP597" s="349"/>
      <c r="AQ597" s="349"/>
      <c r="AR597" s="349"/>
      <c r="AS597" s="349"/>
      <c r="AT597" s="349"/>
      <c r="AU597" s="349"/>
      <c r="AV597" s="349"/>
      <c r="AW597" s="349"/>
      <c r="AX597" s="349"/>
      <c r="AY597" s="349"/>
      <c r="AZ597" s="349"/>
      <c r="BA597" s="349"/>
      <c r="BB597" s="349"/>
      <c r="BC597" s="349"/>
      <c r="BD597" s="349"/>
      <c r="BE597" s="349"/>
      <c r="BF597" s="349"/>
      <c r="BG597" s="349"/>
      <c r="BH597" s="349"/>
      <c r="BI597" s="349"/>
      <c r="BJ597" s="349"/>
      <c r="BK597" s="349"/>
      <c r="BL597" s="349"/>
      <c r="BM597" s="349"/>
      <c r="BN597" s="349"/>
      <c r="BO597" s="349"/>
      <c r="BP597" s="349"/>
      <c r="BQ597" s="349"/>
      <c r="BR597" s="349"/>
      <c r="BS597" s="349"/>
    </row>
    <row r="598" spans="1:71" x14ac:dyDescent="0.3">
      <c r="A598" s="349"/>
      <c r="B598" s="349"/>
      <c r="C598" s="349"/>
      <c r="D598" s="349"/>
      <c r="E598" s="349"/>
      <c r="F598" s="349"/>
      <c r="G598" s="349"/>
      <c r="H598" s="349"/>
      <c r="I598" s="349"/>
      <c r="J598" s="349"/>
      <c r="K598" s="349"/>
      <c r="L598" s="349"/>
      <c r="M598" s="349"/>
      <c r="N598" s="349"/>
      <c r="O598" s="349"/>
      <c r="P598" s="349"/>
      <c r="Q598" s="349"/>
      <c r="R598" s="349"/>
      <c r="S598" s="349"/>
      <c r="T598" s="349"/>
      <c r="U598" s="349"/>
      <c r="V598" s="349"/>
      <c r="W598" s="349"/>
      <c r="X598" s="349"/>
      <c r="Y598" s="349"/>
      <c r="Z598" s="349"/>
      <c r="AA598" s="349"/>
      <c r="AB598" s="349"/>
      <c r="AC598" s="349"/>
      <c r="AD598" s="349"/>
      <c r="AE598" s="349"/>
      <c r="AF598" s="349"/>
      <c r="AG598" s="349"/>
      <c r="AH598" s="349"/>
      <c r="AI598" s="349"/>
      <c r="AJ598" s="349"/>
      <c r="AK598" s="349"/>
      <c r="AL598" s="349"/>
      <c r="AM598" s="349"/>
      <c r="AN598" s="349"/>
      <c r="AO598" s="349"/>
      <c r="AP598" s="349"/>
      <c r="AQ598" s="349"/>
      <c r="AR598" s="349"/>
      <c r="AS598" s="349"/>
      <c r="AT598" s="349"/>
      <c r="AU598" s="349"/>
      <c r="AV598" s="349"/>
      <c r="AW598" s="349"/>
      <c r="AX598" s="349"/>
      <c r="AY598" s="349"/>
      <c r="AZ598" s="349"/>
      <c r="BA598" s="349"/>
      <c r="BB598" s="349"/>
      <c r="BC598" s="349"/>
      <c r="BD598" s="349"/>
      <c r="BE598" s="349"/>
      <c r="BF598" s="349"/>
      <c r="BG598" s="349"/>
      <c r="BH598" s="349"/>
      <c r="BI598" s="349"/>
      <c r="BJ598" s="349"/>
      <c r="BK598" s="349"/>
      <c r="BL598" s="349"/>
      <c r="BM598" s="349"/>
      <c r="BN598" s="349"/>
      <c r="BO598" s="349"/>
      <c r="BP598" s="349"/>
      <c r="BQ598" s="349"/>
      <c r="BR598" s="349"/>
      <c r="BS598" s="349"/>
    </row>
    <row r="599" spans="1:71" x14ac:dyDescent="0.3">
      <c r="A599" s="349"/>
      <c r="B599" s="349"/>
      <c r="C599" s="349"/>
      <c r="D599" s="349"/>
      <c r="E599" s="349"/>
      <c r="F599" s="349"/>
      <c r="G599" s="349"/>
      <c r="H599" s="349"/>
      <c r="I599" s="349"/>
      <c r="J599" s="349"/>
      <c r="K599" s="349"/>
      <c r="L599" s="349"/>
      <c r="M599" s="349"/>
      <c r="N599" s="349"/>
      <c r="O599" s="349"/>
      <c r="P599" s="349"/>
      <c r="Q599" s="349"/>
      <c r="R599" s="349"/>
      <c r="S599" s="349"/>
      <c r="T599" s="349"/>
      <c r="U599" s="349"/>
      <c r="V599" s="349"/>
      <c r="W599" s="349"/>
      <c r="X599" s="349"/>
      <c r="Y599" s="349"/>
      <c r="Z599" s="349"/>
      <c r="AA599" s="349"/>
      <c r="AB599" s="349"/>
      <c r="AC599" s="349"/>
      <c r="AD599" s="349"/>
      <c r="AE599" s="349"/>
      <c r="AF599" s="349"/>
      <c r="AG599" s="349"/>
      <c r="AH599" s="349"/>
      <c r="AI599" s="349"/>
      <c r="AJ599" s="349"/>
      <c r="AK599" s="349"/>
      <c r="AL599" s="349"/>
      <c r="AM599" s="349"/>
      <c r="AN599" s="349"/>
      <c r="AO599" s="349"/>
      <c r="AP599" s="349"/>
      <c r="AQ599" s="349"/>
      <c r="AR599" s="349"/>
      <c r="AS599" s="349"/>
      <c r="AT599" s="349"/>
      <c r="AU599" s="349"/>
      <c r="AV599" s="349"/>
      <c r="AW599" s="349"/>
      <c r="AX599" s="349"/>
      <c r="AY599" s="349"/>
      <c r="AZ599" s="349"/>
      <c r="BA599" s="349"/>
      <c r="BB599" s="349"/>
      <c r="BC599" s="349"/>
      <c r="BD599" s="349"/>
      <c r="BE599" s="349"/>
      <c r="BF599" s="349"/>
      <c r="BG599" s="349"/>
      <c r="BH599" s="349"/>
      <c r="BI599" s="349"/>
      <c r="BJ599" s="349"/>
      <c r="BK599" s="349"/>
      <c r="BL599" s="349"/>
      <c r="BM599" s="349"/>
      <c r="BN599" s="349"/>
      <c r="BO599" s="349"/>
      <c r="BP599" s="349"/>
      <c r="BQ599" s="349"/>
      <c r="BR599" s="349"/>
      <c r="BS599" s="349"/>
    </row>
    <row r="600" spans="1:71" x14ac:dyDescent="0.3">
      <c r="A600" s="349"/>
      <c r="B600" s="349"/>
      <c r="C600" s="349"/>
      <c r="D600" s="349"/>
      <c r="E600" s="349"/>
      <c r="F600" s="349"/>
      <c r="G600" s="349"/>
      <c r="H600" s="349"/>
      <c r="I600" s="349"/>
      <c r="J600" s="349"/>
      <c r="K600" s="349"/>
      <c r="L600" s="349"/>
      <c r="M600" s="349"/>
      <c r="N600" s="349"/>
      <c r="O600" s="349"/>
      <c r="P600" s="349"/>
      <c r="Q600" s="349"/>
      <c r="R600" s="349"/>
      <c r="S600" s="349"/>
      <c r="T600" s="349"/>
      <c r="U600" s="349"/>
      <c r="V600" s="349"/>
      <c r="W600" s="349"/>
      <c r="X600" s="349"/>
      <c r="Y600" s="349"/>
      <c r="Z600" s="349"/>
      <c r="AA600" s="349"/>
      <c r="AB600" s="349"/>
      <c r="AC600" s="349"/>
      <c r="AD600" s="349"/>
      <c r="AE600" s="349"/>
      <c r="AF600" s="349"/>
      <c r="AG600" s="349"/>
      <c r="AH600" s="349"/>
      <c r="AI600" s="349"/>
      <c r="AJ600" s="349"/>
      <c r="AK600" s="349"/>
      <c r="AL600" s="349"/>
      <c r="AM600" s="349"/>
      <c r="AN600" s="349"/>
      <c r="AO600" s="349"/>
      <c r="AP600" s="349"/>
      <c r="AQ600" s="349"/>
      <c r="AR600" s="349"/>
      <c r="AS600" s="349"/>
      <c r="AT600" s="349"/>
      <c r="AU600" s="349"/>
      <c r="AV600" s="349"/>
      <c r="AW600" s="349"/>
      <c r="AX600" s="349"/>
      <c r="AY600" s="349"/>
      <c r="AZ600" s="349"/>
      <c r="BA600" s="349"/>
      <c r="BB600" s="349"/>
      <c r="BC600" s="349"/>
      <c r="BD600" s="349"/>
      <c r="BE600" s="349"/>
      <c r="BF600" s="349"/>
      <c r="BG600" s="349"/>
      <c r="BH600" s="349"/>
      <c r="BI600" s="349"/>
      <c r="BJ600" s="349"/>
      <c r="BK600" s="349"/>
      <c r="BL600" s="349"/>
      <c r="BM600" s="349"/>
      <c r="BN600" s="349"/>
      <c r="BO600" s="349"/>
      <c r="BP600" s="349"/>
      <c r="BQ600" s="349"/>
      <c r="BR600" s="349"/>
      <c r="BS600" s="349"/>
    </row>
    <row r="601" spans="1:71" x14ac:dyDescent="0.3">
      <c r="A601" s="349"/>
      <c r="B601" s="349"/>
      <c r="C601" s="349"/>
      <c r="D601" s="349"/>
      <c r="E601" s="349"/>
      <c r="F601" s="349"/>
      <c r="G601" s="349"/>
      <c r="H601" s="349"/>
      <c r="I601" s="349"/>
      <c r="J601" s="349"/>
      <c r="K601" s="349"/>
      <c r="L601" s="349"/>
      <c r="M601" s="349"/>
      <c r="N601" s="349"/>
      <c r="O601" s="349"/>
      <c r="P601" s="349"/>
      <c r="Q601" s="349"/>
      <c r="R601" s="349"/>
      <c r="S601" s="349"/>
      <c r="T601" s="349"/>
      <c r="U601" s="349"/>
      <c r="V601" s="349"/>
      <c r="W601" s="349"/>
      <c r="X601" s="349"/>
      <c r="Y601" s="349"/>
      <c r="Z601" s="349"/>
      <c r="AA601" s="349"/>
      <c r="AB601" s="349"/>
      <c r="AC601" s="349"/>
      <c r="AD601" s="349"/>
      <c r="AE601" s="349"/>
      <c r="AF601" s="349"/>
      <c r="AG601" s="349"/>
      <c r="AH601" s="349"/>
      <c r="AI601" s="349"/>
      <c r="AJ601" s="349"/>
      <c r="AK601" s="349"/>
      <c r="AL601" s="349"/>
      <c r="AM601" s="349"/>
      <c r="AN601" s="349"/>
      <c r="AO601" s="349"/>
      <c r="AP601" s="349"/>
      <c r="AQ601" s="349"/>
      <c r="AR601" s="349"/>
      <c r="AS601" s="349"/>
      <c r="AT601" s="349"/>
      <c r="AU601" s="349"/>
      <c r="AV601" s="349"/>
      <c r="AW601" s="349"/>
      <c r="AX601" s="349"/>
      <c r="AY601" s="349"/>
      <c r="AZ601" s="349"/>
      <c r="BA601" s="349"/>
      <c r="BB601" s="349"/>
      <c r="BC601" s="349"/>
      <c r="BD601" s="349"/>
      <c r="BE601" s="349"/>
      <c r="BF601" s="349"/>
      <c r="BG601" s="349"/>
      <c r="BH601" s="349"/>
      <c r="BI601" s="349"/>
      <c r="BJ601" s="349"/>
      <c r="BK601" s="349"/>
      <c r="BL601" s="349"/>
      <c r="BM601" s="349"/>
      <c r="BN601" s="349"/>
      <c r="BO601" s="349"/>
      <c r="BP601" s="349"/>
      <c r="BQ601" s="349"/>
      <c r="BR601" s="349"/>
      <c r="BS601" s="349"/>
    </row>
    <row r="602" spans="1:71" x14ac:dyDescent="0.3">
      <c r="A602" s="349"/>
      <c r="B602" s="349"/>
      <c r="C602" s="349"/>
      <c r="D602" s="349"/>
      <c r="E602" s="349"/>
      <c r="F602" s="349"/>
      <c r="G602" s="349"/>
      <c r="H602" s="349"/>
      <c r="I602" s="349"/>
      <c r="J602" s="349"/>
      <c r="K602" s="349"/>
      <c r="L602" s="349"/>
      <c r="M602" s="349"/>
      <c r="N602" s="349"/>
      <c r="O602" s="349"/>
      <c r="P602" s="349"/>
      <c r="Q602" s="349"/>
      <c r="R602" s="349"/>
      <c r="S602" s="349"/>
      <c r="T602" s="349"/>
      <c r="U602" s="349"/>
      <c r="V602" s="349"/>
      <c r="W602" s="349"/>
      <c r="X602" s="349"/>
      <c r="Y602" s="349"/>
      <c r="Z602" s="349"/>
      <c r="AA602" s="349"/>
      <c r="AB602" s="349"/>
      <c r="AC602" s="349"/>
      <c r="AD602" s="349"/>
      <c r="AE602" s="349"/>
      <c r="AF602" s="349"/>
      <c r="AG602" s="349"/>
      <c r="AH602" s="349"/>
      <c r="AI602" s="349"/>
      <c r="AJ602" s="349"/>
      <c r="AK602" s="349"/>
      <c r="AL602" s="349"/>
      <c r="AM602" s="349"/>
      <c r="AN602" s="349"/>
      <c r="AO602" s="349"/>
      <c r="AP602" s="349"/>
      <c r="AQ602" s="349"/>
      <c r="AR602" s="349"/>
      <c r="AS602" s="349"/>
      <c r="AT602" s="349"/>
      <c r="AU602" s="349"/>
      <c r="AV602" s="349"/>
      <c r="AW602" s="349"/>
      <c r="AX602" s="349"/>
      <c r="AY602" s="349"/>
      <c r="AZ602" s="349"/>
      <c r="BA602" s="349"/>
      <c r="BB602" s="349"/>
      <c r="BC602" s="349"/>
      <c r="BD602" s="349"/>
      <c r="BE602" s="349"/>
      <c r="BF602" s="349"/>
      <c r="BG602" s="349"/>
      <c r="BH602" s="349"/>
      <c r="BI602" s="349"/>
      <c r="BJ602" s="349"/>
      <c r="BK602" s="349"/>
      <c r="BL602" s="349"/>
      <c r="BM602" s="349"/>
      <c r="BN602" s="349"/>
      <c r="BO602" s="349"/>
      <c r="BP602" s="349"/>
      <c r="BQ602" s="349"/>
      <c r="BR602" s="349"/>
      <c r="BS602" s="349"/>
    </row>
    <row r="603" spans="1:71" x14ac:dyDescent="0.3">
      <c r="A603" s="349"/>
      <c r="B603" s="349"/>
      <c r="C603" s="349"/>
      <c r="D603" s="349"/>
      <c r="E603" s="349"/>
      <c r="F603" s="349"/>
      <c r="G603" s="349"/>
      <c r="H603" s="349"/>
      <c r="I603" s="349"/>
      <c r="J603" s="349"/>
      <c r="K603" s="349"/>
      <c r="L603" s="349"/>
      <c r="M603" s="349"/>
      <c r="N603" s="349"/>
      <c r="O603" s="349"/>
      <c r="P603" s="349"/>
      <c r="Q603" s="349"/>
      <c r="R603" s="349"/>
      <c r="S603" s="349"/>
      <c r="T603" s="349"/>
      <c r="U603" s="349"/>
      <c r="V603" s="349"/>
      <c r="W603" s="349"/>
      <c r="X603" s="349"/>
      <c r="Y603" s="349"/>
      <c r="Z603" s="349"/>
      <c r="AA603" s="349"/>
      <c r="AB603" s="349"/>
      <c r="AC603" s="349"/>
      <c r="AD603" s="349"/>
      <c r="AE603" s="349"/>
      <c r="AF603" s="349"/>
      <c r="AG603" s="349"/>
      <c r="AH603" s="349"/>
      <c r="AI603" s="349"/>
      <c r="AJ603" s="349"/>
      <c r="AK603" s="349"/>
      <c r="AL603" s="349"/>
      <c r="AM603" s="349"/>
      <c r="AN603" s="349"/>
      <c r="AO603" s="349"/>
      <c r="AP603" s="349"/>
      <c r="AQ603" s="349"/>
      <c r="AR603" s="349"/>
      <c r="AS603" s="349"/>
      <c r="AT603" s="349"/>
      <c r="AU603" s="349"/>
      <c r="AV603" s="349"/>
      <c r="AW603" s="349"/>
      <c r="AX603" s="349"/>
      <c r="AY603" s="349"/>
      <c r="AZ603" s="349"/>
      <c r="BA603" s="349"/>
      <c r="BB603" s="349"/>
      <c r="BC603" s="349"/>
      <c r="BD603" s="349"/>
      <c r="BE603" s="349"/>
      <c r="BF603" s="349"/>
      <c r="BG603" s="349"/>
      <c r="BH603" s="349"/>
      <c r="BI603" s="349"/>
      <c r="BJ603" s="349"/>
      <c r="BK603" s="349"/>
      <c r="BL603" s="349"/>
      <c r="BM603" s="349"/>
      <c r="BN603" s="349"/>
      <c r="BO603" s="349"/>
      <c r="BP603" s="349"/>
      <c r="BQ603" s="349"/>
      <c r="BR603" s="349"/>
      <c r="BS603" s="349"/>
    </row>
    <row r="604" spans="1:71" x14ac:dyDescent="0.3">
      <c r="A604" s="349"/>
      <c r="B604" s="349"/>
      <c r="C604" s="349"/>
      <c r="D604" s="349"/>
      <c r="E604" s="349"/>
      <c r="F604" s="349"/>
      <c r="G604" s="349"/>
      <c r="H604" s="349"/>
      <c r="I604" s="349"/>
      <c r="J604" s="349"/>
      <c r="K604" s="349"/>
      <c r="L604" s="349"/>
      <c r="M604" s="349"/>
      <c r="N604" s="349"/>
      <c r="O604" s="349"/>
      <c r="P604" s="349"/>
      <c r="Q604" s="349"/>
      <c r="R604" s="349"/>
      <c r="S604" s="349"/>
      <c r="T604" s="349"/>
      <c r="U604" s="349"/>
      <c r="V604" s="349"/>
      <c r="W604" s="349"/>
      <c r="X604" s="349"/>
      <c r="Y604" s="349"/>
      <c r="Z604" s="349"/>
      <c r="AA604" s="349"/>
      <c r="AB604" s="349"/>
      <c r="AC604" s="349"/>
      <c r="AD604" s="349"/>
      <c r="AE604" s="349"/>
      <c r="AF604" s="349"/>
      <c r="AG604" s="349"/>
      <c r="AH604" s="349"/>
      <c r="AI604" s="349"/>
      <c r="AJ604" s="349"/>
      <c r="AK604" s="349"/>
      <c r="AL604" s="349"/>
      <c r="AM604" s="349"/>
      <c r="AN604" s="349"/>
      <c r="AO604" s="349"/>
      <c r="AP604" s="349"/>
      <c r="AQ604" s="349"/>
      <c r="AR604" s="349"/>
      <c r="AS604" s="349"/>
      <c r="AT604" s="349"/>
      <c r="AU604" s="349"/>
      <c r="AV604" s="349"/>
      <c r="AW604" s="349"/>
      <c r="AX604" s="349"/>
      <c r="AY604" s="349"/>
      <c r="AZ604" s="349"/>
      <c r="BA604" s="349"/>
      <c r="BB604" s="349"/>
      <c r="BC604" s="349"/>
      <c r="BD604" s="349"/>
      <c r="BE604" s="349"/>
      <c r="BF604" s="349"/>
      <c r="BG604" s="349"/>
      <c r="BH604" s="349"/>
      <c r="BI604" s="349"/>
      <c r="BJ604" s="349"/>
      <c r="BK604" s="349"/>
      <c r="BL604" s="349"/>
      <c r="BM604" s="349"/>
      <c r="BN604" s="349"/>
      <c r="BO604" s="349"/>
      <c r="BP604" s="349"/>
      <c r="BQ604" s="349"/>
      <c r="BR604" s="349"/>
      <c r="BS604" s="349"/>
    </row>
    <row r="605" spans="1:71" x14ac:dyDescent="0.3">
      <c r="A605" s="349"/>
      <c r="B605" s="349"/>
      <c r="C605" s="349"/>
      <c r="D605" s="349"/>
      <c r="E605" s="349"/>
      <c r="F605" s="349"/>
      <c r="G605" s="349"/>
      <c r="H605" s="349"/>
      <c r="I605" s="349"/>
      <c r="J605" s="349"/>
      <c r="K605" s="349"/>
      <c r="L605" s="349"/>
      <c r="M605" s="349"/>
      <c r="N605" s="349"/>
      <c r="O605" s="349"/>
      <c r="P605" s="349"/>
      <c r="Q605" s="349"/>
      <c r="R605" s="349"/>
      <c r="S605" s="349"/>
      <c r="T605" s="349"/>
      <c r="U605" s="349"/>
      <c r="V605" s="349"/>
      <c r="W605" s="349"/>
      <c r="X605" s="349"/>
      <c r="Y605" s="349"/>
      <c r="Z605" s="349"/>
      <c r="AA605" s="349"/>
      <c r="AB605" s="349"/>
      <c r="AC605" s="349"/>
      <c r="AD605" s="349"/>
      <c r="AE605" s="349"/>
      <c r="AF605" s="349"/>
      <c r="AG605" s="349"/>
      <c r="AH605" s="349"/>
      <c r="AI605" s="349"/>
      <c r="AJ605" s="349"/>
      <c r="AK605" s="349"/>
      <c r="AL605" s="349"/>
      <c r="AM605" s="349"/>
      <c r="AN605" s="349"/>
      <c r="AO605" s="349"/>
      <c r="AP605" s="349"/>
      <c r="AQ605" s="349"/>
      <c r="AR605" s="349"/>
      <c r="AS605" s="349"/>
      <c r="AT605" s="349"/>
      <c r="AU605" s="349"/>
      <c r="AV605" s="349"/>
      <c r="AW605" s="349"/>
      <c r="AX605" s="349"/>
      <c r="AY605" s="349"/>
      <c r="AZ605" s="349"/>
      <c r="BA605" s="349"/>
      <c r="BB605" s="349"/>
      <c r="BC605" s="349"/>
      <c r="BD605" s="349"/>
      <c r="BE605" s="349"/>
      <c r="BF605" s="349"/>
      <c r="BG605" s="349"/>
      <c r="BH605" s="349"/>
      <c r="BI605" s="349"/>
      <c r="BJ605" s="349"/>
      <c r="BK605" s="349"/>
      <c r="BL605" s="349"/>
      <c r="BM605" s="349"/>
      <c r="BN605" s="349"/>
      <c r="BO605" s="349"/>
      <c r="BP605" s="349"/>
      <c r="BQ605" s="349"/>
      <c r="BR605" s="349"/>
      <c r="BS605" s="349"/>
    </row>
    <row r="606" spans="1:71" x14ac:dyDescent="0.3">
      <c r="A606" s="349"/>
      <c r="B606" s="349"/>
      <c r="C606" s="349"/>
      <c r="D606" s="349"/>
      <c r="E606" s="349"/>
      <c r="F606" s="349"/>
      <c r="G606" s="349"/>
      <c r="H606" s="349"/>
      <c r="I606" s="349"/>
      <c r="J606" s="349"/>
      <c r="K606" s="349"/>
      <c r="L606" s="349"/>
      <c r="M606" s="349"/>
      <c r="N606" s="349"/>
      <c r="O606" s="349"/>
      <c r="P606" s="349"/>
      <c r="Q606" s="349"/>
      <c r="R606" s="349"/>
      <c r="S606" s="349"/>
      <c r="T606" s="349"/>
      <c r="U606" s="349"/>
      <c r="V606" s="349"/>
      <c r="W606" s="349"/>
      <c r="X606" s="349"/>
      <c r="Y606" s="349"/>
      <c r="Z606" s="349"/>
      <c r="AA606" s="349"/>
      <c r="AB606" s="349"/>
      <c r="AC606" s="349"/>
      <c r="AD606" s="349"/>
      <c r="AE606" s="349"/>
      <c r="AF606" s="349"/>
      <c r="AG606" s="349"/>
      <c r="AH606" s="349"/>
      <c r="AI606" s="349"/>
      <c r="AJ606" s="349"/>
      <c r="AK606" s="349"/>
      <c r="AL606" s="349"/>
      <c r="AM606" s="349"/>
      <c r="AN606" s="349"/>
      <c r="AO606" s="349"/>
      <c r="AP606" s="349"/>
      <c r="AQ606" s="349"/>
      <c r="AR606" s="349"/>
      <c r="AS606" s="349"/>
      <c r="AT606" s="349"/>
      <c r="AU606" s="349"/>
      <c r="AV606" s="349"/>
      <c r="AW606" s="349"/>
      <c r="AX606" s="349"/>
      <c r="AY606" s="349"/>
      <c r="AZ606" s="349"/>
      <c r="BA606" s="349"/>
      <c r="BB606" s="349"/>
      <c r="BC606" s="349"/>
      <c r="BD606" s="349"/>
      <c r="BE606" s="349"/>
      <c r="BF606" s="349"/>
      <c r="BG606" s="349"/>
      <c r="BH606" s="349"/>
      <c r="BI606" s="349"/>
      <c r="BJ606" s="349"/>
      <c r="BK606" s="349"/>
      <c r="BL606" s="349"/>
      <c r="BM606" s="349"/>
      <c r="BN606" s="349"/>
      <c r="BO606" s="349"/>
      <c r="BP606" s="349"/>
      <c r="BQ606" s="349"/>
      <c r="BR606" s="349"/>
      <c r="BS606" s="349"/>
    </row>
    <row r="607" spans="1:71" x14ac:dyDescent="0.3">
      <c r="A607" s="349"/>
      <c r="B607" s="349"/>
      <c r="C607" s="349"/>
      <c r="D607" s="349"/>
      <c r="E607" s="349"/>
      <c r="F607" s="349"/>
      <c r="G607" s="349"/>
      <c r="H607" s="349"/>
      <c r="I607" s="349"/>
      <c r="J607" s="349"/>
      <c r="K607" s="349"/>
      <c r="L607" s="349"/>
      <c r="M607" s="349"/>
      <c r="N607" s="349"/>
      <c r="O607" s="349"/>
      <c r="P607" s="349"/>
      <c r="Q607" s="349"/>
      <c r="R607" s="349"/>
      <c r="S607" s="349"/>
      <c r="T607" s="349"/>
      <c r="U607" s="349"/>
      <c r="V607" s="349"/>
      <c r="W607" s="349"/>
      <c r="X607" s="349"/>
      <c r="Y607" s="349"/>
      <c r="Z607" s="349"/>
      <c r="AA607" s="349"/>
      <c r="AB607" s="349"/>
      <c r="AC607" s="349"/>
      <c r="AD607" s="349"/>
      <c r="AE607" s="349"/>
      <c r="AF607" s="349"/>
      <c r="AG607" s="349"/>
      <c r="AH607" s="349"/>
      <c r="AI607" s="349"/>
      <c r="AJ607" s="349"/>
      <c r="AK607" s="349"/>
      <c r="AL607" s="349"/>
      <c r="AM607" s="349"/>
      <c r="AN607" s="349"/>
      <c r="AO607" s="349"/>
      <c r="AP607" s="349"/>
      <c r="AQ607" s="349"/>
      <c r="AR607" s="349"/>
      <c r="AS607" s="349"/>
      <c r="AT607" s="349"/>
      <c r="AU607" s="349"/>
      <c r="AV607" s="349"/>
      <c r="AW607" s="349"/>
      <c r="AX607" s="349"/>
      <c r="AY607" s="349"/>
      <c r="AZ607" s="349"/>
      <c r="BA607" s="349"/>
      <c r="BB607" s="349"/>
      <c r="BC607" s="349"/>
      <c r="BD607" s="349"/>
      <c r="BE607" s="349"/>
      <c r="BF607" s="349"/>
      <c r="BG607" s="349"/>
      <c r="BH607" s="349"/>
      <c r="BI607" s="349"/>
      <c r="BJ607" s="349"/>
      <c r="BK607" s="349"/>
      <c r="BL607" s="349"/>
      <c r="BM607" s="349"/>
      <c r="BN607" s="349"/>
      <c r="BO607" s="349"/>
      <c r="BP607" s="349"/>
      <c r="BQ607" s="349"/>
      <c r="BR607" s="349"/>
      <c r="BS607" s="349"/>
    </row>
    <row r="608" spans="1:71" x14ac:dyDescent="0.3">
      <c r="A608" s="349"/>
      <c r="B608" s="349"/>
      <c r="C608" s="349"/>
      <c r="D608" s="349"/>
      <c r="E608" s="349"/>
      <c r="F608" s="349"/>
      <c r="G608" s="349"/>
      <c r="H608" s="349"/>
      <c r="I608" s="349"/>
      <c r="J608" s="349"/>
      <c r="K608" s="349"/>
      <c r="L608" s="349"/>
      <c r="M608" s="349"/>
      <c r="N608" s="349"/>
      <c r="O608" s="349"/>
      <c r="P608" s="349"/>
      <c r="Q608" s="349"/>
      <c r="R608" s="349"/>
      <c r="S608" s="349"/>
      <c r="T608" s="349"/>
      <c r="U608" s="349"/>
      <c r="V608" s="349"/>
      <c r="W608" s="349"/>
      <c r="X608" s="349"/>
      <c r="Y608" s="349"/>
      <c r="Z608" s="349"/>
      <c r="AA608" s="349"/>
      <c r="AB608" s="349"/>
      <c r="AC608" s="349"/>
      <c r="AD608" s="349"/>
      <c r="AE608" s="349"/>
      <c r="AF608" s="349"/>
      <c r="AG608" s="349"/>
      <c r="AH608" s="349"/>
      <c r="AI608" s="349"/>
      <c r="AJ608" s="349"/>
      <c r="AK608" s="349"/>
      <c r="AL608" s="349"/>
      <c r="AM608" s="349"/>
      <c r="AN608" s="349"/>
      <c r="AO608" s="349"/>
      <c r="AP608" s="349"/>
      <c r="AQ608" s="349"/>
      <c r="AR608" s="349"/>
      <c r="AS608" s="349"/>
      <c r="AT608" s="349"/>
      <c r="AU608" s="349"/>
      <c r="AV608" s="349"/>
      <c r="AW608" s="349"/>
      <c r="AX608" s="349"/>
      <c r="AY608" s="349"/>
      <c r="AZ608" s="349"/>
      <c r="BA608" s="349"/>
      <c r="BB608" s="349"/>
      <c r="BC608" s="349"/>
      <c r="BD608" s="349"/>
      <c r="BE608" s="349"/>
      <c r="BF608" s="349"/>
      <c r="BG608" s="349"/>
      <c r="BH608" s="349"/>
      <c r="BI608" s="349"/>
      <c r="BJ608" s="349"/>
      <c r="BK608" s="349"/>
      <c r="BL608" s="349"/>
      <c r="BM608" s="349"/>
      <c r="BN608" s="349"/>
      <c r="BO608" s="349"/>
      <c r="BP608" s="349"/>
      <c r="BQ608" s="349"/>
      <c r="BR608" s="349"/>
      <c r="BS608" s="349"/>
    </row>
    <row r="609" spans="1:71" x14ac:dyDescent="0.3">
      <c r="A609" s="349"/>
      <c r="B609" s="349"/>
      <c r="C609" s="349"/>
      <c r="D609" s="349"/>
      <c r="E609" s="349"/>
      <c r="F609" s="349"/>
      <c r="G609" s="349"/>
      <c r="H609" s="349"/>
      <c r="I609" s="349"/>
      <c r="J609" s="349"/>
      <c r="K609" s="349"/>
      <c r="L609" s="349"/>
      <c r="M609" s="349"/>
      <c r="N609" s="349"/>
      <c r="O609" s="349"/>
      <c r="P609" s="349"/>
      <c r="Q609" s="349"/>
      <c r="R609" s="349"/>
      <c r="S609" s="349"/>
      <c r="T609" s="349"/>
      <c r="U609" s="349"/>
      <c r="V609" s="349"/>
      <c r="W609" s="349"/>
      <c r="X609" s="349"/>
      <c r="Y609" s="349"/>
      <c r="Z609" s="349"/>
      <c r="AA609" s="349"/>
      <c r="AB609" s="349"/>
      <c r="AC609" s="349"/>
      <c r="AD609" s="349"/>
      <c r="AE609" s="349"/>
      <c r="AF609" s="349"/>
      <c r="AG609" s="349"/>
      <c r="AH609" s="349"/>
      <c r="AI609" s="349"/>
      <c r="AJ609" s="349"/>
      <c r="AK609" s="349"/>
      <c r="AL609" s="349"/>
      <c r="AM609" s="349"/>
      <c r="AN609" s="349"/>
      <c r="AO609" s="349"/>
      <c r="AP609" s="349"/>
      <c r="AQ609" s="349"/>
      <c r="AR609" s="349"/>
      <c r="AS609" s="349"/>
      <c r="AT609" s="349"/>
      <c r="AU609" s="349"/>
      <c r="AV609" s="349"/>
      <c r="AW609" s="349"/>
      <c r="AX609" s="349"/>
      <c r="AY609" s="349"/>
      <c r="AZ609" s="349"/>
      <c r="BA609" s="349"/>
      <c r="BB609" s="349"/>
      <c r="BC609" s="349"/>
      <c r="BD609" s="349"/>
      <c r="BE609" s="349"/>
      <c r="BF609" s="349"/>
      <c r="BG609" s="349"/>
      <c r="BH609" s="349"/>
      <c r="BI609" s="349"/>
      <c r="BJ609" s="349"/>
      <c r="BK609" s="349"/>
      <c r="BL609" s="349"/>
      <c r="BM609" s="349"/>
      <c r="BN609" s="349"/>
      <c r="BO609" s="349"/>
      <c r="BP609" s="349"/>
      <c r="BQ609" s="349"/>
      <c r="BR609" s="349"/>
      <c r="BS609" s="349"/>
    </row>
    <row r="610" spans="1:71" x14ac:dyDescent="0.3">
      <c r="A610" s="349"/>
      <c r="B610" s="349"/>
      <c r="C610" s="349"/>
      <c r="D610" s="349"/>
      <c r="E610" s="349"/>
      <c r="F610" s="349"/>
      <c r="G610" s="349"/>
      <c r="H610" s="349"/>
      <c r="I610" s="349"/>
      <c r="J610" s="349"/>
      <c r="K610" s="349"/>
      <c r="L610" s="349"/>
      <c r="M610" s="349"/>
      <c r="N610" s="349"/>
      <c r="O610" s="349"/>
      <c r="P610" s="349"/>
      <c r="Q610" s="349"/>
      <c r="R610" s="349"/>
      <c r="S610" s="349"/>
      <c r="T610" s="349"/>
      <c r="U610" s="349"/>
      <c r="V610" s="349"/>
      <c r="W610" s="349"/>
      <c r="X610" s="349"/>
      <c r="Y610" s="349"/>
      <c r="Z610" s="349"/>
      <c r="AA610" s="349"/>
      <c r="AB610" s="349"/>
      <c r="AC610" s="349"/>
      <c r="AD610" s="349"/>
      <c r="AE610" s="349"/>
      <c r="AF610" s="349"/>
      <c r="AG610" s="349"/>
      <c r="AH610" s="349"/>
      <c r="AI610" s="349"/>
      <c r="AJ610" s="349"/>
      <c r="AK610" s="349"/>
      <c r="AL610" s="349"/>
      <c r="AM610" s="349"/>
      <c r="AN610" s="349"/>
      <c r="AO610" s="349"/>
      <c r="AP610" s="349"/>
      <c r="AQ610" s="349"/>
      <c r="AR610" s="349"/>
      <c r="AS610" s="349"/>
      <c r="AT610" s="349"/>
      <c r="AU610" s="349"/>
      <c r="AV610" s="349"/>
      <c r="AW610" s="349"/>
      <c r="AX610" s="349"/>
      <c r="AY610" s="349"/>
      <c r="AZ610" s="349"/>
      <c r="BA610" s="349"/>
      <c r="BB610" s="349"/>
      <c r="BC610" s="349"/>
      <c r="BD610" s="349"/>
      <c r="BE610" s="349"/>
      <c r="BF610" s="349"/>
      <c r="BG610" s="349"/>
      <c r="BH610" s="349"/>
      <c r="BI610" s="349"/>
      <c r="BJ610" s="349"/>
      <c r="BK610" s="349"/>
      <c r="BL610" s="349"/>
      <c r="BM610" s="349"/>
      <c r="BN610" s="349"/>
      <c r="BO610" s="349"/>
      <c r="BP610" s="349"/>
      <c r="BQ610" s="349"/>
      <c r="BR610" s="349"/>
      <c r="BS610" s="349"/>
    </row>
    <row r="611" spans="1:71" x14ac:dyDescent="0.3">
      <c r="A611" s="349"/>
      <c r="B611" s="349"/>
      <c r="C611" s="349"/>
      <c r="D611" s="349"/>
      <c r="E611" s="349"/>
      <c r="F611" s="349"/>
      <c r="G611" s="349"/>
      <c r="H611" s="349"/>
      <c r="I611" s="349"/>
      <c r="J611" s="349"/>
      <c r="K611" s="349"/>
      <c r="L611" s="349"/>
      <c r="M611" s="349"/>
      <c r="N611" s="349"/>
      <c r="O611" s="349"/>
      <c r="P611" s="349"/>
      <c r="Q611" s="349"/>
      <c r="R611" s="349"/>
      <c r="S611" s="349"/>
      <c r="T611" s="349"/>
      <c r="U611" s="349"/>
      <c r="V611" s="349"/>
      <c r="W611" s="349"/>
      <c r="X611" s="349"/>
      <c r="Y611" s="349"/>
      <c r="Z611" s="349"/>
      <c r="AA611" s="349"/>
      <c r="AB611" s="349"/>
      <c r="AC611" s="349"/>
      <c r="AD611" s="349"/>
      <c r="AE611" s="349"/>
      <c r="AF611" s="349"/>
      <c r="AG611" s="349"/>
      <c r="AH611" s="349"/>
      <c r="AI611" s="349"/>
      <c r="AJ611" s="349"/>
      <c r="AK611" s="349"/>
      <c r="AL611" s="349"/>
      <c r="AM611" s="349"/>
      <c r="AN611" s="349"/>
      <c r="AO611" s="349"/>
      <c r="AP611" s="349"/>
      <c r="AQ611" s="349"/>
      <c r="AR611" s="349"/>
      <c r="AS611" s="349"/>
      <c r="AT611" s="349"/>
      <c r="AU611" s="349"/>
      <c r="AV611" s="349"/>
      <c r="AW611" s="349"/>
      <c r="AX611" s="349"/>
      <c r="AY611" s="349"/>
      <c r="AZ611" s="349"/>
      <c r="BA611" s="349"/>
      <c r="BB611" s="349"/>
      <c r="BC611" s="349"/>
      <c r="BD611" s="349"/>
      <c r="BE611" s="349"/>
      <c r="BF611" s="349"/>
      <c r="BG611" s="349"/>
      <c r="BH611" s="349"/>
      <c r="BI611" s="349"/>
      <c r="BJ611" s="349"/>
      <c r="BK611" s="349"/>
      <c r="BL611" s="349"/>
      <c r="BM611" s="349"/>
      <c r="BN611" s="349"/>
      <c r="BO611" s="349"/>
      <c r="BP611" s="349"/>
      <c r="BQ611" s="349"/>
      <c r="BR611" s="349"/>
      <c r="BS611" s="349"/>
    </row>
    <row r="612" spans="1:71" x14ac:dyDescent="0.3">
      <c r="A612" s="349"/>
      <c r="B612" s="349"/>
      <c r="C612" s="349"/>
      <c r="D612" s="349"/>
      <c r="E612" s="349"/>
      <c r="F612" s="349"/>
      <c r="G612" s="349"/>
      <c r="H612" s="349"/>
      <c r="I612" s="349"/>
      <c r="J612" s="349"/>
      <c r="K612" s="349"/>
      <c r="L612" s="349"/>
      <c r="M612" s="349"/>
      <c r="N612" s="349"/>
      <c r="O612" s="349"/>
      <c r="P612" s="349"/>
      <c r="Q612" s="349"/>
      <c r="R612" s="349"/>
      <c r="S612" s="349"/>
      <c r="T612" s="349"/>
      <c r="U612" s="349"/>
      <c r="V612" s="349"/>
      <c r="W612" s="349"/>
      <c r="X612" s="349"/>
      <c r="Y612" s="349"/>
      <c r="Z612" s="349"/>
      <c r="AA612" s="349"/>
      <c r="AB612" s="349"/>
      <c r="AC612" s="349"/>
      <c r="AD612" s="349"/>
      <c r="AE612" s="349"/>
      <c r="AF612" s="349"/>
      <c r="AG612" s="349"/>
      <c r="AH612" s="349"/>
      <c r="AI612" s="349"/>
      <c r="AJ612" s="349"/>
      <c r="AK612" s="349"/>
      <c r="AL612" s="349"/>
      <c r="AM612" s="349"/>
      <c r="AN612" s="349"/>
      <c r="AO612" s="349"/>
      <c r="AP612" s="349"/>
      <c r="AQ612" s="349"/>
      <c r="AR612" s="349"/>
      <c r="AS612" s="349"/>
      <c r="AT612" s="349"/>
      <c r="AU612" s="349"/>
      <c r="AV612" s="349"/>
      <c r="AW612" s="349"/>
      <c r="AX612" s="349"/>
      <c r="AY612" s="349"/>
      <c r="AZ612" s="349"/>
      <c r="BA612" s="349"/>
      <c r="BB612" s="349"/>
      <c r="BC612" s="349"/>
      <c r="BD612" s="349"/>
      <c r="BE612" s="349"/>
      <c r="BF612" s="349"/>
      <c r="BG612" s="349"/>
      <c r="BH612" s="349"/>
      <c r="BI612" s="349"/>
      <c r="BJ612" s="349"/>
      <c r="BK612" s="349"/>
      <c r="BL612" s="349"/>
      <c r="BM612" s="349"/>
      <c r="BN612" s="349"/>
      <c r="BO612" s="349"/>
      <c r="BP612" s="349"/>
      <c r="BQ612" s="349"/>
      <c r="BR612" s="349"/>
      <c r="BS612" s="349"/>
    </row>
    <row r="613" spans="1:71" x14ac:dyDescent="0.3">
      <c r="A613" s="349"/>
      <c r="B613" s="349"/>
      <c r="C613" s="349"/>
      <c r="D613" s="349"/>
      <c r="E613" s="349"/>
      <c r="F613" s="349"/>
      <c r="G613" s="349"/>
      <c r="H613" s="349"/>
      <c r="I613" s="349"/>
      <c r="J613" s="349"/>
      <c r="K613" s="349"/>
      <c r="L613" s="349"/>
      <c r="M613" s="349"/>
      <c r="N613" s="349"/>
      <c r="O613" s="349"/>
      <c r="P613" s="349"/>
      <c r="Q613" s="349"/>
      <c r="R613" s="349"/>
      <c r="S613" s="349"/>
      <c r="T613" s="349"/>
      <c r="U613" s="349"/>
      <c r="V613" s="349"/>
      <c r="W613" s="349"/>
      <c r="X613" s="349"/>
      <c r="Y613" s="349"/>
      <c r="Z613" s="349"/>
      <c r="AA613" s="349"/>
      <c r="AB613" s="349"/>
      <c r="AC613" s="349"/>
      <c r="AD613" s="349"/>
      <c r="AE613" s="349"/>
      <c r="AF613" s="349"/>
      <c r="AG613" s="349"/>
      <c r="AH613" s="349"/>
      <c r="AI613" s="349"/>
      <c r="AJ613" s="349"/>
      <c r="AK613" s="349"/>
      <c r="AL613" s="349"/>
      <c r="AM613" s="349"/>
      <c r="AN613" s="349"/>
      <c r="AO613" s="349"/>
      <c r="AP613" s="349"/>
      <c r="AQ613" s="349"/>
      <c r="AR613" s="349"/>
      <c r="AS613" s="349"/>
      <c r="AT613" s="349"/>
      <c r="AU613" s="349"/>
      <c r="AV613" s="349"/>
      <c r="AW613" s="349"/>
      <c r="AX613" s="349"/>
      <c r="AY613" s="349"/>
      <c r="AZ613" s="349"/>
      <c r="BA613" s="349"/>
      <c r="BB613" s="349"/>
      <c r="BC613" s="349"/>
      <c r="BD613" s="349"/>
      <c r="BE613" s="349"/>
      <c r="BF613" s="349"/>
      <c r="BG613" s="349"/>
      <c r="BH613" s="349"/>
      <c r="BI613" s="349"/>
      <c r="BJ613" s="349"/>
      <c r="BK613" s="349"/>
      <c r="BL613" s="349"/>
      <c r="BM613" s="349"/>
      <c r="BN613" s="349"/>
      <c r="BO613" s="349"/>
      <c r="BP613" s="349"/>
      <c r="BQ613" s="349"/>
      <c r="BR613" s="349"/>
      <c r="BS613" s="349"/>
    </row>
    <row r="614" spans="1:71" x14ac:dyDescent="0.3">
      <c r="A614" s="349"/>
      <c r="B614" s="349"/>
      <c r="C614" s="349"/>
      <c r="D614" s="349"/>
      <c r="E614" s="349"/>
      <c r="F614" s="349"/>
      <c r="G614" s="349"/>
      <c r="H614" s="349"/>
      <c r="I614" s="349"/>
      <c r="J614" s="349"/>
      <c r="K614" s="349"/>
      <c r="L614" s="349"/>
      <c r="M614" s="349"/>
      <c r="N614" s="349"/>
      <c r="O614" s="349"/>
      <c r="P614" s="349"/>
      <c r="Q614" s="349"/>
      <c r="R614" s="349"/>
      <c r="S614" s="349"/>
      <c r="T614" s="349"/>
      <c r="U614" s="349"/>
      <c r="V614" s="349"/>
      <c r="W614" s="349"/>
      <c r="X614" s="349"/>
      <c r="Y614" s="349"/>
      <c r="Z614" s="349"/>
      <c r="AA614" s="349"/>
      <c r="AB614" s="349"/>
      <c r="AC614" s="349"/>
      <c r="AD614" s="349"/>
      <c r="AE614" s="349"/>
      <c r="AF614" s="349"/>
      <c r="AG614" s="349"/>
      <c r="AH614" s="349"/>
      <c r="AI614" s="349"/>
      <c r="AJ614" s="349"/>
      <c r="AK614" s="349"/>
      <c r="AL614" s="349"/>
      <c r="AM614" s="349"/>
      <c r="AN614" s="349"/>
      <c r="AO614" s="349"/>
      <c r="AP614" s="349"/>
      <c r="AQ614" s="349"/>
      <c r="AR614" s="349"/>
      <c r="AS614" s="349"/>
      <c r="AT614" s="349"/>
      <c r="AU614" s="349"/>
      <c r="AV614" s="349"/>
      <c r="AW614" s="349"/>
      <c r="AX614" s="349"/>
      <c r="AY614" s="349"/>
      <c r="AZ614" s="349"/>
      <c r="BA614" s="349"/>
      <c r="BB614" s="349"/>
      <c r="BC614" s="349"/>
      <c r="BD614" s="349"/>
      <c r="BE614" s="349"/>
      <c r="BF614" s="349"/>
      <c r="BG614" s="349"/>
      <c r="BH614" s="349"/>
      <c r="BI614" s="349"/>
      <c r="BJ614" s="349"/>
      <c r="BK614" s="349"/>
      <c r="BL614" s="349"/>
      <c r="BM614" s="349"/>
      <c r="BN614" s="349"/>
      <c r="BO614" s="349"/>
      <c r="BP614" s="349"/>
      <c r="BQ614" s="349"/>
      <c r="BR614" s="349"/>
      <c r="BS614" s="349"/>
    </row>
    <row r="615" spans="1:71" x14ac:dyDescent="0.3">
      <c r="A615" s="349"/>
      <c r="B615" s="349"/>
      <c r="C615" s="349"/>
      <c r="D615" s="349"/>
      <c r="E615" s="349"/>
      <c r="F615" s="349"/>
      <c r="G615" s="349"/>
      <c r="H615" s="349"/>
      <c r="I615" s="349"/>
      <c r="J615" s="349"/>
      <c r="K615" s="349"/>
      <c r="L615" s="349"/>
      <c r="M615" s="349"/>
      <c r="N615" s="349"/>
      <c r="O615" s="349"/>
      <c r="P615" s="349"/>
      <c r="Q615" s="349"/>
      <c r="R615" s="349"/>
      <c r="S615" s="349"/>
      <c r="T615" s="349"/>
      <c r="U615" s="349"/>
      <c r="V615" s="349"/>
      <c r="W615" s="349"/>
      <c r="X615" s="349"/>
      <c r="Y615" s="349"/>
      <c r="Z615" s="349"/>
      <c r="AA615" s="349"/>
      <c r="AB615" s="349"/>
      <c r="AC615" s="349"/>
      <c r="AD615" s="349"/>
      <c r="AE615" s="349"/>
      <c r="AF615" s="349"/>
      <c r="AG615" s="349"/>
      <c r="AH615" s="349"/>
      <c r="AI615" s="349"/>
      <c r="AJ615" s="349"/>
      <c r="AK615" s="349"/>
      <c r="AL615" s="349"/>
      <c r="AM615" s="349"/>
      <c r="AN615" s="349"/>
      <c r="AO615" s="349"/>
      <c r="AP615" s="349"/>
      <c r="AQ615" s="349"/>
      <c r="AR615" s="349"/>
      <c r="AS615" s="349"/>
      <c r="AT615" s="349"/>
      <c r="AU615" s="349"/>
      <c r="AV615" s="349"/>
      <c r="AW615" s="349"/>
      <c r="AX615" s="349"/>
      <c r="AY615" s="349"/>
      <c r="AZ615" s="349"/>
      <c r="BA615" s="349"/>
      <c r="BB615" s="349"/>
      <c r="BC615" s="349"/>
      <c r="BD615" s="349"/>
      <c r="BE615" s="349"/>
      <c r="BF615" s="349"/>
      <c r="BG615" s="349"/>
      <c r="BH615" s="349"/>
      <c r="BI615" s="349"/>
      <c r="BJ615" s="349"/>
      <c r="BK615" s="349"/>
      <c r="BL615" s="349"/>
      <c r="BM615" s="349"/>
      <c r="BN615" s="349"/>
      <c r="BO615" s="349"/>
      <c r="BP615" s="349"/>
      <c r="BQ615" s="349"/>
      <c r="BR615" s="349"/>
      <c r="BS615" s="349"/>
    </row>
    <row r="616" spans="1:71" x14ac:dyDescent="0.3">
      <c r="A616" s="349"/>
      <c r="B616" s="349"/>
      <c r="C616" s="349"/>
      <c r="D616" s="349"/>
      <c r="E616" s="349"/>
      <c r="F616" s="349"/>
      <c r="G616" s="349"/>
      <c r="H616" s="349"/>
      <c r="I616" s="349"/>
      <c r="J616" s="349"/>
      <c r="K616" s="349"/>
      <c r="L616" s="349"/>
      <c r="M616" s="349"/>
      <c r="N616" s="349"/>
      <c r="O616" s="349"/>
      <c r="P616" s="349"/>
      <c r="Q616" s="349"/>
      <c r="R616" s="349"/>
      <c r="S616" s="349"/>
      <c r="T616" s="349"/>
      <c r="U616" s="349"/>
      <c r="V616" s="349"/>
      <c r="W616" s="349"/>
      <c r="X616" s="349"/>
      <c r="Y616" s="349"/>
      <c r="Z616" s="349"/>
      <c r="AA616" s="349"/>
      <c r="AB616" s="349"/>
      <c r="AC616" s="349"/>
      <c r="AD616" s="349"/>
      <c r="AE616" s="349"/>
      <c r="AF616" s="349"/>
      <c r="AG616" s="349"/>
      <c r="AH616" s="349"/>
      <c r="AI616" s="349"/>
      <c r="AJ616" s="349"/>
      <c r="AK616" s="349"/>
      <c r="AL616" s="349"/>
      <c r="AM616" s="349"/>
      <c r="AN616" s="349"/>
      <c r="AO616" s="349"/>
      <c r="AP616" s="349"/>
      <c r="AQ616" s="349"/>
      <c r="AR616" s="349"/>
      <c r="AS616" s="349"/>
      <c r="AT616" s="349"/>
      <c r="AU616" s="349"/>
      <c r="AV616" s="349"/>
      <c r="AW616" s="349"/>
      <c r="AX616" s="349"/>
      <c r="AY616" s="349"/>
      <c r="AZ616" s="349"/>
      <c r="BA616" s="349"/>
      <c r="BB616" s="349"/>
      <c r="BC616" s="349"/>
      <c r="BD616" s="349"/>
      <c r="BE616" s="349"/>
      <c r="BF616" s="349"/>
      <c r="BG616" s="349"/>
      <c r="BH616" s="349"/>
      <c r="BI616" s="349"/>
      <c r="BJ616" s="349"/>
      <c r="BK616" s="349"/>
      <c r="BL616" s="349"/>
      <c r="BM616" s="349"/>
      <c r="BN616" s="349"/>
      <c r="BO616" s="349"/>
      <c r="BP616" s="349"/>
      <c r="BQ616" s="349"/>
      <c r="BR616" s="349"/>
      <c r="BS616" s="349"/>
    </row>
    <row r="617" spans="1:71" x14ac:dyDescent="0.3">
      <c r="A617" s="349"/>
      <c r="B617" s="349"/>
      <c r="C617" s="349"/>
      <c r="D617" s="349"/>
      <c r="E617" s="349"/>
      <c r="F617" s="349"/>
      <c r="G617" s="349"/>
      <c r="H617" s="349"/>
      <c r="I617" s="349"/>
      <c r="J617" s="349"/>
      <c r="K617" s="349"/>
      <c r="L617" s="349"/>
      <c r="M617" s="349"/>
      <c r="N617" s="349"/>
      <c r="O617" s="349"/>
      <c r="P617" s="349"/>
      <c r="Q617" s="349"/>
      <c r="R617" s="349"/>
      <c r="S617" s="349"/>
      <c r="T617" s="349"/>
      <c r="U617" s="349"/>
      <c r="V617" s="349"/>
      <c r="W617" s="349"/>
      <c r="X617" s="349"/>
      <c r="Y617" s="349"/>
      <c r="Z617" s="349"/>
      <c r="AA617" s="349"/>
      <c r="AB617" s="349"/>
      <c r="AC617" s="349"/>
      <c r="AD617" s="349"/>
      <c r="AE617" s="349"/>
      <c r="AF617" s="349"/>
      <c r="AG617" s="349"/>
      <c r="AH617" s="349"/>
      <c r="AI617" s="349"/>
      <c r="AJ617" s="349"/>
      <c r="AK617" s="349"/>
      <c r="AL617" s="349"/>
      <c r="AM617" s="349"/>
      <c r="AN617" s="349"/>
      <c r="AO617" s="349"/>
      <c r="AP617" s="349"/>
      <c r="AQ617" s="349"/>
      <c r="AR617" s="349"/>
      <c r="AS617" s="349"/>
      <c r="AT617" s="349"/>
      <c r="AU617" s="349"/>
      <c r="AV617" s="349"/>
      <c r="AW617" s="349"/>
      <c r="AX617" s="349"/>
      <c r="AY617" s="349"/>
      <c r="AZ617" s="349"/>
      <c r="BA617" s="349"/>
      <c r="BB617" s="349"/>
      <c r="BC617" s="349"/>
      <c r="BD617" s="349"/>
      <c r="BE617" s="349"/>
      <c r="BF617" s="349"/>
      <c r="BG617" s="349"/>
      <c r="BH617" s="349"/>
      <c r="BI617" s="349"/>
      <c r="BJ617" s="349"/>
      <c r="BK617" s="349"/>
      <c r="BL617" s="349"/>
      <c r="BM617" s="349"/>
      <c r="BN617" s="349"/>
      <c r="BO617" s="349"/>
      <c r="BP617" s="349"/>
      <c r="BQ617" s="349"/>
      <c r="BR617" s="349"/>
      <c r="BS617" s="349"/>
    </row>
    <row r="618" spans="1:71" x14ac:dyDescent="0.3">
      <c r="A618" s="349"/>
      <c r="B618" s="349"/>
      <c r="C618" s="349"/>
      <c r="D618" s="349"/>
      <c r="E618" s="349"/>
      <c r="F618" s="349"/>
      <c r="G618" s="349"/>
      <c r="H618" s="349"/>
      <c r="I618" s="349"/>
      <c r="J618" s="349"/>
      <c r="K618" s="349"/>
      <c r="L618" s="349"/>
      <c r="M618" s="349"/>
      <c r="N618" s="349"/>
      <c r="O618" s="349"/>
      <c r="P618" s="349"/>
      <c r="Q618" s="349"/>
      <c r="R618" s="349"/>
      <c r="S618" s="349"/>
      <c r="T618" s="349"/>
      <c r="U618" s="349"/>
      <c r="V618" s="349"/>
      <c r="W618" s="349"/>
      <c r="X618" s="349"/>
      <c r="Y618" s="349"/>
      <c r="Z618" s="349"/>
      <c r="AA618" s="349"/>
      <c r="AB618" s="349"/>
      <c r="AC618" s="349"/>
      <c r="AD618" s="349"/>
      <c r="AE618" s="349"/>
      <c r="AF618" s="349"/>
      <c r="AG618" s="349"/>
      <c r="AH618" s="349"/>
      <c r="AI618" s="349"/>
      <c r="AJ618" s="349"/>
      <c r="AK618" s="349"/>
      <c r="AL618" s="349"/>
      <c r="AM618" s="349"/>
      <c r="AN618" s="349"/>
      <c r="AO618" s="349"/>
      <c r="AP618" s="349"/>
      <c r="AQ618" s="349"/>
      <c r="AR618" s="349"/>
      <c r="AS618" s="349"/>
      <c r="AT618" s="349"/>
      <c r="AU618" s="349"/>
      <c r="AV618" s="349"/>
      <c r="AW618" s="349"/>
      <c r="AX618" s="349"/>
      <c r="AY618" s="349"/>
      <c r="AZ618" s="349"/>
      <c r="BA618" s="349"/>
      <c r="BB618" s="349"/>
      <c r="BC618" s="349"/>
      <c r="BD618" s="349"/>
      <c r="BE618" s="349"/>
      <c r="BF618" s="349"/>
      <c r="BG618" s="349"/>
      <c r="BH618" s="349"/>
      <c r="BI618" s="349"/>
      <c r="BJ618" s="349"/>
      <c r="BK618" s="349"/>
      <c r="BL618" s="349"/>
      <c r="BM618" s="349"/>
      <c r="BN618" s="349"/>
      <c r="BO618" s="349"/>
      <c r="BP618" s="349"/>
      <c r="BQ618" s="349"/>
      <c r="BR618" s="349"/>
      <c r="BS618" s="349"/>
    </row>
    <row r="619" spans="1:71" x14ac:dyDescent="0.3">
      <c r="A619" s="349"/>
      <c r="B619" s="349"/>
      <c r="C619" s="349"/>
      <c r="D619" s="349"/>
      <c r="E619" s="349"/>
      <c r="F619" s="349"/>
      <c r="G619" s="349"/>
      <c r="H619" s="349"/>
      <c r="I619" s="349"/>
      <c r="J619" s="349"/>
      <c r="K619" s="349"/>
      <c r="L619" s="349"/>
      <c r="M619" s="349"/>
      <c r="N619" s="349"/>
      <c r="O619" s="349"/>
      <c r="P619" s="349"/>
      <c r="Q619" s="349"/>
      <c r="R619" s="349"/>
      <c r="S619" s="349"/>
      <c r="T619" s="349"/>
      <c r="U619" s="349"/>
      <c r="V619" s="349"/>
      <c r="W619" s="349"/>
      <c r="X619" s="349"/>
      <c r="Y619" s="349"/>
      <c r="Z619" s="349"/>
      <c r="AA619" s="349"/>
      <c r="AB619" s="349"/>
      <c r="AC619" s="349"/>
      <c r="AD619" s="349"/>
      <c r="AE619" s="349"/>
      <c r="AF619" s="349"/>
      <c r="AG619" s="349"/>
      <c r="AH619" s="349"/>
      <c r="AI619" s="349"/>
      <c r="AJ619" s="349"/>
      <c r="AK619" s="349"/>
      <c r="AL619" s="349"/>
      <c r="AM619" s="349"/>
      <c r="AN619" s="349"/>
      <c r="AO619" s="349"/>
      <c r="AP619" s="349"/>
      <c r="AQ619" s="349"/>
      <c r="AR619" s="349"/>
      <c r="AS619" s="349"/>
      <c r="AT619" s="349"/>
      <c r="AU619" s="349"/>
      <c r="AV619" s="349"/>
      <c r="AW619" s="349"/>
      <c r="AX619" s="349"/>
      <c r="AY619" s="349"/>
      <c r="AZ619" s="349"/>
      <c r="BA619" s="349"/>
      <c r="BB619" s="349"/>
      <c r="BC619" s="349"/>
      <c r="BD619" s="349"/>
      <c r="BE619" s="349"/>
      <c r="BF619" s="349"/>
      <c r="BG619" s="349"/>
      <c r="BH619" s="349"/>
      <c r="BI619" s="349"/>
      <c r="BJ619" s="349"/>
      <c r="BK619" s="349"/>
      <c r="BL619" s="349"/>
      <c r="BM619" s="349"/>
      <c r="BN619" s="349"/>
      <c r="BO619" s="349"/>
      <c r="BP619" s="349"/>
      <c r="BQ619" s="349"/>
      <c r="BR619" s="349"/>
      <c r="BS619" s="349"/>
    </row>
    <row r="620" spans="1:71" x14ac:dyDescent="0.3">
      <c r="A620" s="349"/>
      <c r="B620" s="349"/>
      <c r="C620" s="349"/>
      <c r="D620" s="349"/>
      <c r="E620" s="349"/>
      <c r="F620" s="349"/>
      <c r="G620" s="349"/>
      <c r="H620" s="349"/>
      <c r="I620" s="349"/>
      <c r="J620" s="349"/>
      <c r="K620" s="349"/>
      <c r="L620" s="349"/>
      <c r="M620" s="349"/>
      <c r="N620" s="349"/>
      <c r="O620" s="349"/>
      <c r="P620" s="349"/>
      <c r="Q620" s="349"/>
      <c r="R620" s="349"/>
      <c r="S620" s="349"/>
      <c r="T620" s="349"/>
      <c r="U620" s="349"/>
      <c r="V620" s="349"/>
      <c r="W620" s="349"/>
      <c r="X620" s="349"/>
      <c r="Y620" s="349"/>
      <c r="Z620" s="349"/>
      <c r="AA620" s="349"/>
      <c r="AB620" s="349"/>
      <c r="AC620" s="349"/>
      <c r="AD620" s="349"/>
      <c r="AE620" s="349"/>
      <c r="AF620" s="349"/>
      <c r="AG620" s="349"/>
      <c r="AH620" s="349"/>
      <c r="AI620" s="349"/>
      <c r="AJ620" s="349"/>
      <c r="AK620" s="349"/>
      <c r="AL620" s="349"/>
      <c r="AM620" s="349"/>
      <c r="AN620" s="349"/>
      <c r="AO620" s="349"/>
      <c r="AP620" s="349"/>
      <c r="AQ620" s="349"/>
      <c r="AR620" s="349"/>
      <c r="AS620" s="349"/>
      <c r="AT620" s="349"/>
      <c r="AU620" s="349"/>
      <c r="AV620" s="349"/>
      <c r="AW620" s="349"/>
      <c r="AX620" s="349"/>
      <c r="AY620" s="349"/>
      <c r="AZ620" s="349"/>
      <c r="BA620" s="349"/>
      <c r="BB620" s="349"/>
      <c r="BC620" s="349"/>
      <c r="BD620" s="349"/>
      <c r="BE620" s="349"/>
      <c r="BF620" s="349"/>
      <c r="BG620" s="349"/>
      <c r="BH620" s="349"/>
      <c r="BI620" s="349"/>
      <c r="BJ620" s="349"/>
      <c r="BK620" s="349"/>
      <c r="BL620" s="349"/>
      <c r="BM620" s="349"/>
      <c r="BN620" s="349"/>
      <c r="BO620" s="349"/>
      <c r="BP620" s="349"/>
      <c r="BQ620" s="349"/>
      <c r="BR620" s="349"/>
      <c r="BS620" s="349"/>
    </row>
    <row r="621" spans="1:71" x14ac:dyDescent="0.3">
      <c r="A621" s="349"/>
      <c r="B621" s="349"/>
      <c r="C621" s="349"/>
      <c r="D621" s="349"/>
      <c r="E621" s="349"/>
      <c r="F621" s="349"/>
      <c r="G621" s="349"/>
      <c r="H621" s="349"/>
      <c r="I621" s="349"/>
      <c r="J621" s="349"/>
      <c r="K621" s="349"/>
      <c r="L621" s="349"/>
      <c r="M621" s="349"/>
      <c r="N621" s="349"/>
      <c r="O621" s="349"/>
      <c r="P621" s="349"/>
      <c r="Q621" s="349"/>
      <c r="R621" s="349"/>
      <c r="S621" s="349"/>
      <c r="T621" s="349"/>
      <c r="U621" s="349"/>
      <c r="V621" s="349"/>
      <c r="W621" s="349"/>
      <c r="X621" s="349"/>
      <c r="Y621" s="349"/>
      <c r="Z621" s="349"/>
      <c r="AA621" s="349"/>
      <c r="AB621" s="349"/>
      <c r="AC621" s="349"/>
      <c r="AD621" s="349"/>
      <c r="AE621" s="349"/>
      <c r="AF621" s="349"/>
      <c r="AG621" s="349"/>
      <c r="AH621" s="349"/>
      <c r="AI621" s="349"/>
      <c r="AJ621" s="349"/>
      <c r="AK621" s="349"/>
      <c r="AL621" s="349"/>
      <c r="AM621" s="349"/>
      <c r="AN621" s="349"/>
      <c r="AO621" s="349"/>
      <c r="AP621" s="349"/>
      <c r="AQ621" s="349"/>
      <c r="AR621" s="349"/>
      <c r="AS621" s="349"/>
      <c r="AT621" s="349"/>
      <c r="AU621" s="349"/>
      <c r="AV621" s="349"/>
      <c r="AW621" s="349"/>
      <c r="AX621" s="349"/>
      <c r="AY621" s="349"/>
      <c r="AZ621" s="349"/>
      <c r="BA621" s="349"/>
      <c r="BB621" s="349"/>
      <c r="BC621" s="349"/>
      <c r="BD621" s="349"/>
      <c r="BE621" s="349"/>
      <c r="BF621" s="349"/>
      <c r="BG621" s="349"/>
      <c r="BH621" s="349"/>
      <c r="BI621" s="349"/>
      <c r="BJ621" s="349"/>
      <c r="BK621" s="349"/>
      <c r="BL621" s="349"/>
      <c r="BM621" s="349"/>
      <c r="BN621" s="349"/>
      <c r="BO621" s="349"/>
      <c r="BP621" s="349"/>
      <c r="BQ621" s="349"/>
      <c r="BR621" s="349"/>
      <c r="BS621" s="349"/>
    </row>
    <row r="622" spans="1:71" x14ac:dyDescent="0.3">
      <c r="A622" s="349"/>
      <c r="B622" s="349"/>
      <c r="C622" s="349"/>
      <c r="D622" s="349"/>
      <c r="E622" s="349"/>
      <c r="F622" s="349"/>
      <c r="G622" s="349"/>
      <c r="H622" s="349"/>
      <c r="I622" s="349"/>
      <c r="J622" s="349"/>
      <c r="K622" s="349"/>
      <c r="L622" s="349"/>
      <c r="M622" s="349"/>
      <c r="N622" s="349"/>
      <c r="O622" s="349"/>
      <c r="P622" s="349"/>
      <c r="Q622" s="349"/>
      <c r="R622" s="349"/>
      <c r="S622" s="349"/>
      <c r="T622" s="349"/>
      <c r="U622" s="349"/>
      <c r="V622" s="349"/>
      <c r="W622" s="349"/>
      <c r="X622" s="349"/>
      <c r="Y622" s="349"/>
      <c r="Z622" s="349"/>
      <c r="AA622" s="349"/>
      <c r="AB622" s="349"/>
      <c r="AC622" s="349"/>
      <c r="AD622" s="349"/>
      <c r="AE622" s="349"/>
      <c r="AF622" s="349"/>
      <c r="AG622" s="349"/>
      <c r="AH622" s="349"/>
      <c r="AI622" s="349"/>
      <c r="AJ622" s="349"/>
      <c r="AK622" s="349"/>
      <c r="AL622" s="349"/>
      <c r="AM622" s="349"/>
      <c r="AN622" s="349"/>
      <c r="AO622" s="349"/>
      <c r="AP622" s="349"/>
      <c r="AQ622" s="349"/>
      <c r="AR622" s="349"/>
      <c r="AS622" s="349"/>
      <c r="AT622" s="349"/>
      <c r="AU622" s="349"/>
      <c r="AV622" s="349"/>
      <c r="AW622" s="349"/>
      <c r="AX622" s="349"/>
      <c r="AY622" s="349"/>
      <c r="AZ622" s="349"/>
      <c r="BA622" s="349"/>
      <c r="BB622" s="349"/>
      <c r="BC622" s="349"/>
      <c r="BD622" s="349"/>
      <c r="BE622" s="349"/>
      <c r="BF622" s="349"/>
      <c r="BG622" s="349"/>
      <c r="BH622" s="349"/>
      <c r="BI622" s="349"/>
      <c r="BJ622" s="349"/>
      <c r="BK622" s="349"/>
      <c r="BL622" s="349"/>
      <c r="BM622" s="349"/>
      <c r="BN622" s="349"/>
      <c r="BO622" s="349"/>
      <c r="BP622" s="349"/>
      <c r="BQ622" s="349"/>
      <c r="BR622" s="349"/>
      <c r="BS622" s="349"/>
    </row>
    <row r="623" spans="1:71" x14ac:dyDescent="0.3">
      <c r="A623" s="349"/>
      <c r="B623" s="349"/>
      <c r="C623" s="349"/>
      <c r="D623" s="349"/>
      <c r="E623" s="349"/>
      <c r="F623" s="349"/>
      <c r="G623" s="349"/>
      <c r="H623" s="349"/>
      <c r="I623" s="349"/>
      <c r="J623" s="349"/>
      <c r="K623" s="349"/>
      <c r="L623" s="349"/>
      <c r="M623" s="349"/>
      <c r="N623" s="349"/>
      <c r="O623" s="349"/>
      <c r="P623" s="349"/>
      <c r="Q623" s="349"/>
      <c r="R623" s="349"/>
      <c r="S623" s="349"/>
      <c r="T623" s="349"/>
      <c r="U623" s="349"/>
      <c r="V623" s="349"/>
      <c r="W623" s="349"/>
      <c r="X623" s="349"/>
      <c r="Y623" s="349"/>
      <c r="Z623" s="349"/>
      <c r="AA623" s="349"/>
      <c r="AB623" s="349"/>
      <c r="AC623" s="349"/>
      <c r="AD623" s="349"/>
      <c r="AE623" s="349"/>
      <c r="AF623" s="349"/>
      <c r="AG623" s="349"/>
      <c r="AH623" s="349"/>
      <c r="AI623" s="349"/>
      <c r="AJ623" s="349"/>
      <c r="AK623" s="349"/>
      <c r="AL623" s="349"/>
      <c r="AM623" s="349"/>
      <c r="AN623" s="349"/>
      <c r="AO623" s="349"/>
      <c r="AP623" s="349"/>
      <c r="AQ623" s="349"/>
      <c r="AR623" s="349"/>
      <c r="AS623" s="349"/>
      <c r="AT623" s="349"/>
      <c r="AU623" s="349"/>
      <c r="AV623" s="349"/>
      <c r="AW623" s="349"/>
      <c r="AX623" s="349"/>
      <c r="AY623" s="349"/>
      <c r="AZ623" s="349"/>
      <c r="BA623" s="349"/>
      <c r="BB623" s="349"/>
      <c r="BC623" s="349"/>
      <c r="BD623" s="349"/>
      <c r="BE623" s="349"/>
      <c r="BF623" s="349"/>
      <c r="BG623" s="349"/>
      <c r="BH623" s="349"/>
      <c r="BI623" s="349"/>
      <c r="BJ623" s="349"/>
      <c r="BK623" s="349"/>
      <c r="BL623" s="349"/>
      <c r="BM623" s="349"/>
      <c r="BN623" s="349"/>
      <c r="BO623" s="349"/>
      <c r="BP623" s="349"/>
      <c r="BQ623" s="349"/>
      <c r="BR623" s="349"/>
      <c r="BS623" s="349"/>
    </row>
    <row r="624" spans="1:71" x14ac:dyDescent="0.3">
      <c r="A624" s="349"/>
      <c r="B624" s="349"/>
      <c r="C624" s="349"/>
      <c r="D624" s="349"/>
      <c r="E624" s="349"/>
      <c r="F624" s="349"/>
      <c r="G624" s="349"/>
      <c r="H624" s="349"/>
      <c r="I624" s="349"/>
      <c r="J624" s="349"/>
      <c r="K624" s="349"/>
      <c r="L624" s="349"/>
      <c r="M624" s="349"/>
      <c r="N624" s="349"/>
      <c r="O624" s="349"/>
      <c r="P624" s="349"/>
      <c r="Q624" s="349"/>
      <c r="R624" s="349"/>
      <c r="S624" s="349"/>
      <c r="T624" s="349"/>
      <c r="U624" s="349"/>
      <c r="V624" s="349"/>
      <c r="W624" s="349"/>
      <c r="X624" s="349"/>
      <c r="Y624" s="349"/>
      <c r="Z624" s="349"/>
      <c r="AA624" s="349"/>
      <c r="AB624" s="349"/>
      <c r="AC624" s="349"/>
      <c r="AD624" s="349"/>
      <c r="AE624" s="349"/>
      <c r="AF624" s="349"/>
      <c r="AG624" s="349"/>
      <c r="AH624" s="349"/>
      <c r="AI624" s="349"/>
      <c r="AJ624" s="349"/>
      <c r="AK624" s="349"/>
      <c r="AL624" s="349"/>
      <c r="AM624" s="349"/>
      <c r="AN624" s="349"/>
      <c r="AO624" s="349"/>
      <c r="AP624" s="349"/>
      <c r="AQ624" s="349"/>
      <c r="AR624" s="349"/>
      <c r="AS624" s="349"/>
      <c r="AT624" s="349"/>
      <c r="AU624" s="349"/>
      <c r="AV624" s="349"/>
      <c r="AW624" s="349"/>
      <c r="AX624" s="349"/>
      <c r="AY624" s="349"/>
      <c r="AZ624" s="349"/>
      <c r="BA624" s="349"/>
      <c r="BB624" s="349"/>
      <c r="BC624" s="349"/>
      <c r="BD624" s="349"/>
      <c r="BE624" s="349"/>
      <c r="BF624" s="349"/>
      <c r="BG624" s="349"/>
      <c r="BH624" s="349"/>
      <c r="BI624" s="349"/>
      <c r="BJ624" s="349"/>
      <c r="BK624" s="349"/>
      <c r="BL624" s="349"/>
      <c r="BM624" s="349"/>
      <c r="BN624" s="349"/>
      <c r="BO624" s="349"/>
      <c r="BP624" s="349"/>
      <c r="BQ624" s="349"/>
      <c r="BR624" s="349"/>
      <c r="BS624" s="349"/>
    </row>
    <row r="625" spans="1:71" x14ac:dyDescent="0.3">
      <c r="A625" s="349"/>
      <c r="B625" s="349"/>
      <c r="C625" s="349"/>
      <c r="D625" s="349"/>
      <c r="E625" s="349"/>
      <c r="F625" s="349"/>
      <c r="G625" s="349"/>
      <c r="H625" s="349"/>
      <c r="I625" s="349"/>
      <c r="J625" s="349"/>
      <c r="K625" s="349"/>
      <c r="L625" s="349"/>
      <c r="M625" s="349"/>
      <c r="N625" s="349"/>
      <c r="O625" s="349"/>
      <c r="P625" s="349"/>
      <c r="Q625" s="349"/>
      <c r="R625" s="349"/>
      <c r="S625" s="349"/>
      <c r="T625" s="349"/>
      <c r="U625" s="349"/>
      <c r="V625" s="349"/>
      <c r="W625" s="349"/>
      <c r="X625" s="349"/>
      <c r="Y625" s="349"/>
      <c r="Z625" s="349"/>
      <c r="AA625" s="349"/>
      <c r="AB625" s="349"/>
      <c r="AC625" s="349"/>
      <c r="AD625" s="349"/>
      <c r="AE625" s="349"/>
      <c r="AF625" s="349"/>
      <c r="AG625" s="349"/>
      <c r="AH625" s="349"/>
      <c r="AI625" s="349"/>
      <c r="AJ625" s="349"/>
      <c r="AK625" s="349"/>
      <c r="AL625" s="349"/>
      <c r="AM625" s="349"/>
      <c r="AN625" s="349"/>
      <c r="AO625" s="349"/>
      <c r="AP625" s="349"/>
      <c r="AQ625" s="349"/>
      <c r="AR625" s="349"/>
      <c r="AS625" s="349"/>
      <c r="AT625" s="349"/>
      <c r="AU625" s="349"/>
      <c r="AV625" s="349"/>
      <c r="AW625" s="349"/>
      <c r="AX625" s="349"/>
      <c r="AY625" s="349"/>
      <c r="AZ625" s="349"/>
      <c r="BA625" s="349"/>
      <c r="BB625" s="349"/>
      <c r="BC625" s="349"/>
      <c r="BD625" s="349"/>
      <c r="BE625" s="349"/>
      <c r="BF625" s="349"/>
      <c r="BG625" s="349"/>
      <c r="BH625" s="349"/>
      <c r="BI625" s="349"/>
      <c r="BJ625" s="349"/>
      <c r="BK625" s="349"/>
      <c r="BL625" s="349"/>
      <c r="BM625" s="349"/>
      <c r="BN625" s="349"/>
      <c r="BO625" s="349"/>
      <c r="BP625" s="349"/>
      <c r="BQ625" s="349"/>
      <c r="BR625" s="349"/>
      <c r="BS625" s="349"/>
    </row>
    <row r="626" spans="1:71" x14ac:dyDescent="0.3">
      <c r="A626" s="349"/>
      <c r="B626" s="349"/>
      <c r="C626" s="349"/>
      <c r="D626" s="349"/>
      <c r="E626" s="349"/>
      <c r="F626" s="349"/>
      <c r="G626" s="349"/>
      <c r="H626" s="349"/>
      <c r="I626" s="349"/>
      <c r="J626" s="349"/>
      <c r="K626" s="349"/>
      <c r="L626" s="349"/>
      <c r="M626" s="349"/>
      <c r="N626" s="349"/>
      <c r="O626" s="349"/>
      <c r="P626" s="349"/>
      <c r="Q626" s="349"/>
      <c r="R626" s="349"/>
      <c r="S626" s="349"/>
      <c r="T626" s="349"/>
      <c r="U626" s="349"/>
      <c r="V626" s="349"/>
      <c r="W626" s="349"/>
      <c r="X626" s="349"/>
      <c r="Y626" s="349"/>
      <c r="Z626" s="349"/>
      <c r="AA626" s="349"/>
      <c r="AB626" s="349"/>
      <c r="AC626" s="349"/>
      <c r="AD626" s="349"/>
      <c r="AE626" s="349"/>
      <c r="AF626" s="349"/>
      <c r="AG626" s="349"/>
      <c r="AH626" s="349"/>
      <c r="AI626" s="349"/>
      <c r="AJ626" s="349"/>
      <c r="AK626" s="349"/>
      <c r="AL626" s="349"/>
      <c r="AM626" s="349"/>
      <c r="AN626" s="349"/>
      <c r="AO626" s="349"/>
      <c r="AP626" s="349"/>
      <c r="AQ626" s="349"/>
      <c r="AR626" s="349"/>
      <c r="AS626" s="349"/>
      <c r="AT626" s="349"/>
      <c r="AU626" s="349"/>
      <c r="AV626" s="349"/>
      <c r="AW626" s="349"/>
      <c r="AX626" s="349"/>
      <c r="AY626" s="349"/>
      <c r="AZ626" s="349"/>
      <c r="BA626" s="349"/>
      <c r="BB626" s="349"/>
      <c r="BC626" s="349"/>
      <c r="BD626" s="349"/>
      <c r="BE626" s="349"/>
      <c r="BF626" s="349"/>
      <c r="BG626" s="349"/>
      <c r="BH626" s="349"/>
      <c r="BI626" s="349"/>
      <c r="BJ626" s="349"/>
      <c r="BK626" s="349"/>
      <c r="BL626" s="349"/>
      <c r="BM626" s="349"/>
      <c r="BN626" s="349"/>
      <c r="BO626" s="349"/>
      <c r="BP626" s="349"/>
      <c r="BQ626" s="349"/>
      <c r="BR626" s="349"/>
      <c r="BS626" s="349"/>
    </row>
    <row r="627" spans="1:71" x14ac:dyDescent="0.3">
      <c r="A627" s="349"/>
      <c r="B627" s="349"/>
      <c r="C627" s="349"/>
      <c r="D627" s="349"/>
      <c r="E627" s="349"/>
      <c r="F627" s="349"/>
      <c r="G627" s="349"/>
      <c r="H627" s="349"/>
      <c r="I627" s="349"/>
      <c r="J627" s="349"/>
      <c r="K627" s="349"/>
      <c r="L627" s="349"/>
      <c r="M627" s="349"/>
      <c r="N627" s="349"/>
      <c r="O627" s="349"/>
      <c r="P627" s="349"/>
      <c r="Q627" s="349"/>
      <c r="R627" s="349"/>
      <c r="S627" s="349"/>
      <c r="T627" s="349"/>
      <c r="U627" s="349"/>
      <c r="V627" s="349"/>
      <c r="W627" s="349"/>
      <c r="X627" s="349"/>
      <c r="Y627" s="349"/>
      <c r="Z627" s="349"/>
      <c r="AA627" s="349"/>
      <c r="AB627" s="349"/>
      <c r="AC627" s="349"/>
      <c r="AD627" s="349"/>
      <c r="AE627" s="349"/>
      <c r="AF627" s="349"/>
      <c r="AG627" s="349"/>
      <c r="AH627" s="349"/>
      <c r="AI627" s="349"/>
      <c r="AJ627" s="349"/>
      <c r="AK627" s="349"/>
      <c r="AL627" s="349"/>
      <c r="AM627" s="349"/>
      <c r="AN627" s="349"/>
      <c r="AO627" s="349"/>
      <c r="AP627" s="349"/>
      <c r="AQ627" s="349"/>
      <c r="AR627" s="349"/>
      <c r="AS627" s="349"/>
      <c r="AT627" s="349"/>
      <c r="AU627" s="349"/>
      <c r="AV627" s="349"/>
      <c r="AW627" s="349"/>
      <c r="AX627" s="349"/>
      <c r="AY627" s="349"/>
      <c r="AZ627" s="349"/>
      <c r="BA627" s="349"/>
      <c r="BB627" s="349"/>
      <c r="BC627" s="349"/>
      <c r="BD627" s="349"/>
      <c r="BE627" s="349"/>
      <c r="BF627" s="349"/>
      <c r="BG627" s="349"/>
      <c r="BH627" s="349"/>
      <c r="BI627" s="349"/>
      <c r="BJ627" s="349"/>
      <c r="BK627" s="349"/>
      <c r="BL627" s="349"/>
      <c r="BM627" s="349"/>
      <c r="BN627" s="349"/>
      <c r="BO627" s="349"/>
      <c r="BP627" s="349"/>
      <c r="BQ627" s="349"/>
      <c r="BR627" s="349"/>
      <c r="BS627" s="349"/>
    </row>
    <row r="628" spans="1:71" x14ac:dyDescent="0.3">
      <c r="A628" s="349"/>
      <c r="B628" s="349"/>
      <c r="C628" s="349"/>
      <c r="D628" s="349"/>
      <c r="E628" s="349"/>
      <c r="F628" s="349"/>
      <c r="G628" s="349"/>
      <c r="H628" s="349"/>
      <c r="I628" s="349"/>
      <c r="J628" s="349"/>
      <c r="K628" s="349"/>
      <c r="L628" s="349"/>
      <c r="M628" s="349"/>
      <c r="N628" s="349"/>
      <c r="O628" s="349"/>
      <c r="P628" s="349"/>
      <c r="Q628" s="349"/>
      <c r="R628" s="349"/>
      <c r="S628" s="349"/>
      <c r="T628" s="349"/>
      <c r="U628" s="349"/>
      <c r="V628" s="349"/>
      <c r="W628" s="349"/>
      <c r="X628" s="349"/>
      <c r="Y628" s="349"/>
      <c r="Z628" s="349"/>
      <c r="AA628" s="349"/>
      <c r="AB628" s="349"/>
      <c r="AC628" s="349"/>
      <c r="AD628" s="349"/>
      <c r="AE628" s="349"/>
      <c r="AF628" s="349"/>
      <c r="AG628" s="349"/>
      <c r="AH628" s="349"/>
      <c r="AI628" s="349"/>
      <c r="AJ628" s="349"/>
      <c r="AK628" s="349"/>
      <c r="AL628" s="349"/>
      <c r="AM628" s="349"/>
      <c r="AN628" s="349"/>
      <c r="AO628" s="349"/>
      <c r="AP628" s="349"/>
      <c r="AQ628" s="349"/>
      <c r="AR628" s="349"/>
      <c r="AS628" s="349"/>
      <c r="AT628" s="349"/>
      <c r="AU628" s="349"/>
      <c r="AV628" s="349"/>
      <c r="AW628" s="349"/>
      <c r="AX628" s="349"/>
      <c r="AY628" s="349"/>
      <c r="AZ628" s="349"/>
      <c r="BA628" s="349"/>
      <c r="BB628" s="349"/>
      <c r="BC628" s="349"/>
      <c r="BD628" s="349"/>
      <c r="BE628" s="349"/>
      <c r="BF628" s="349"/>
      <c r="BG628" s="349"/>
      <c r="BH628" s="349"/>
      <c r="BI628" s="349"/>
      <c r="BJ628" s="349"/>
      <c r="BK628" s="349"/>
      <c r="BL628" s="349"/>
      <c r="BM628" s="349"/>
      <c r="BN628" s="349"/>
      <c r="BO628" s="349"/>
      <c r="BP628" s="349"/>
      <c r="BQ628" s="349"/>
      <c r="BR628" s="349"/>
      <c r="BS628" s="349"/>
    </row>
    <row r="629" spans="1:71" x14ac:dyDescent="0.3">
      <c r="A629" s="349"/>
      <c r="B629" s="349"/>
      <c r="C629" s="349"/>
      <c r="D629" s="349"/>
      <c r="E629" s="349"/>
      <c r="F629" s="349"/>
      <c r="G629" s="349"/>
      <c r="H629" s="349"/>
      <c r="I629" s="349"/>
      <c r="J629" s="349"/>
      <c r="K629" s="349"/>
      <c r="L629" s="349"/>
      <c r="M629" s="349"/>
      <c r="N629" s="349"/>
      <c r="O629" s="349"/>
      <c r="P629" s="349"/>
      <c r="Q629" s="349"/>
      <c r="R629" s="349"/>
      <c r="S629" s="349"/>
      <c r="T629" s="349"/>
      <c r="U629" s="349"/>
      <c r="V629" s="349"/>
      <c r="W629" s="349"/>
      <c r="X629" s="349"/>
      <c r="Y629" s="349"/>
      <c r="Z629" s="349"/>
      <c r="AA629" s="349"/>
      <c r="AB629" s="349"/>
      <c r="AC629" s="349"/>
      <c r="AD629" s="349"/>
      <c r="AE629" s="349"/>
      <c r="AF629" s="349"/>
      <c r="AG629" s="349"/>
      <c r="AH629" s="349"/>
      <c r="AI629" s="349"/>
      <c r="AJ629" s="349"/>
      <c r="AK629" s="349"/>
      <c r="AL629" s="349"/>
      <c r="AM629" s="349"/>
      <c r="AN629" s="349"/>
      <c r="AO629" s="349"/>
      <c r="AP629" s="349"/>
      <c r="AQ629" s="349"/>
      <c r="AR629" s="349"/>
      <c r="AS629" s="349"/>
      <c r="AT629" s="349"/>
      <c r="AU629" s="349"/>
      <c r="AV629" s="349"/>
      <c r="AW629" s="349"/>
      <c r="AX629" s="349"/>
      <c r="AY629" s="349"/>
      <c r="AZ629" s="349"/>
      <c r="BA629" s="349"/>
      <c r="BB629" s="349"/>
      <c r="BC629" s="349"/>
      <c r="BD629" s="349"/>
      <c r="BE629" s="349"/>
      <c r="BF629" s="349"/>
      <c r="BG629" s="349"/>
      <c r="BH629" s="349"/>
      <c r="BI629" s="349"/>
      <c r="BJ629" s="349"/>
      <c r="BK629" s="349"/>
      <c r="BL629" s="349"/>
      <c r="BM629" s="349"/>
      <c r="BN629" s="349"/>
      <c r="BO629" s="349"/>
      <c r="BP629" s="349"/>
      <c r="BQ629" s="349"/>
      <c r="BR629" s="349"/>
      <c r="BS629" s="349"/>
    </row>
    <row r="630" spans="1:71" x14ac:dyDescent="0.3">
      <c r="A630" s="349"/>
      <c r="B630" s="349"/>
      <c r="C630" s="349"/>
      <c r="D630" s="349"/>
      <c r="E630" s="349"/>
      <c r="F630" s="349"/>
      <c r="G630" s="349"/>
      <c r="H630" s="349"/>
      <c r="I630" s="349"/>
      <c r="J630" s="349"/>
      <c r="K630" s="349"/>
      <c r="L630" s="349"/>
      <c r="M630" s="349"/>
      <c r="N630" s="349"/>
      <c r="O630" s="349"/>
      <c r="P630" s="349"/>
      <c r="Q630" s="349"/>
      <c r="R630" s="349"/>
      <c r="S630" s="349"/>
      <c r="T630" s="349"/>
      <c r="U630" s="349"/>
      <c r="V630" s="349"/>
      <c r="W630" s="349"/>
      <c r="X630" s="349"/>
      <c r="Y630" s="349"/>
      <c r="Z630" s="349"/>
      <c r="AA630" s="349"/>
      <c r="AB630" s="349"/>
      <c r="AC630" s="349"/>
      <c r="AD630" s="349"/>
      <c r="AE630" s="349"/>
      <c r="AF630" s="349"/>
      <c r="AG630" s="349"/>
      <c r="AH630" s="349"/>
      <c r="AI630" s="349"/>
      <c r="AJ630" s="349"/>
      <c r="AK630" s="349"/>
      <c r="AL630" s="349"/>
      <c r="AM630" s="349"/>
      <c r="AN630" s="349"/>
      <c r="AO630" s="349"/>
      <c r="AP630" s="349"/>
      <c r="AQ630" s="349"/>
      <c r="AR630" s="349"/>
      <c r="AS630" s="349"/>
      <c r="AT630" s="349"/>
      <c r="AU630" s="349"/>
      <c r="AV630" s="349"/>
      <c r="AW630" s="349"/>
      <c r="AX630" s="349"/>
      <c r="AY630" s="349"/>
      <c r="AZ630" s="349"/>
      <c r="BA630" s="349"/>
      <c r="BB630" s="349"/>
      <c r="BC630" s="349"/>
      <c r="BD630" s="349"/>
      <c r="BE630" s="349"/>
      <c r="BF630" s="349"/>
      <c r="BG630" s="349"/>
      <c r="BH630" s="349"/>
      <c r="BI630" s="349"/>
      <c r="BJ630" s="349"/>
      <c r="BK630" s="349"/>
      <c r="BL630" s="349"/>
      <c r="BM630" s="349"/>
      <c r="BN630" s="349"/>
      <c r="BO630" s="349"/>
      <c r="BP630" s="349"/>
      <c r="BQ630" s="349"/>
      <c r="BR630" s="349"/>
      <c r="BS630" s="349"/>
    </row>
    <row r="631" spans="1:71" x14ac:dyDescent="0.3">
      <c r="A631" s="349"/>
      <c r="B631" s="349"/>
      <c r="C631" s="349"/>
      <c r="D631" s="349"/>
      <c r="E631" s="349"/>
      <c r="F631" s="349"/>
      <c r="G631" s="349"/>
      <c r="H631" s="349"/>
      <c r="I631" s="349"/>
      <c r="J631" s="349"/>
      <c r="K631" s="349"/>
      <c r="L631" s="349"/>
      <c r="M631" s="349"/>
      <c r="N631" s="349"/>
      <c r="O631" s="349"/>
      <c r="P631" s="349"/>
      <c r="Q631" s="349"/>
      <c r="R631" s="349"/>
      <c r="S631" s="349"/>
      <c r="T631" s="349"/>
      <c r="U631" s="349"/>
      <c r="V631" s="349"/>
      <c r="W631" s="349"/>
      <c r="X631" s="349"/>
      <c r="Y631" s="349"/>
      <c r="Z631" s="349"/>
      <c r="AA631" s="349"/>
      <c r="AB631" s="349"/>
      <c r="AC631" s="349"/>
      <c r="AD631" s="349"/>
      <c r="AE631" s="349"/>
      <c r="AF631" s="349"/>
      <c r="AG631" s="349"/>
      <c r="AH631" s="349"/>
      <c r="AI631" s="349"/>
      <c r="AJ631" s="349"/>
      <c r="AK631" s="349"/>
      <c r="AL631" s="349"/>
      <c r="AM631" s="349"/>
      <c r="AN631" s="349"/>
      <c r="AO631" s="349"/>
      <c r="AP631" s="349"/>
      <c r="AQ631" s="349"/>
      <c r="AR631" s="349"/>
      <c r="AS631" s="349"/>
      <c r="AT631" s="349"/>
      <c r="AU631" s="349"/>
      <c r="AV631" s="349"/>
      <c r="AW631" s="349"/>
      <c r="AX631" s="349"/>
      <c r="AY631" s="349"/>
      <c r="AZ631" s="349"/>
      <c r="BA631" s="349"/>
      <c r="BB631" s="349"/>
      <c r="BC631" s="349"/>
      <c r="BD631" s="349"/>
      <c r="BE631" s="349"/>
      <c r="BF631" s="349"/>
      <c r="BG631" s="349"/>
      <c r="BH631" s="349"/>
      <c r="BI631" s="349"/>
      <c r="BJ631" s="349"/>
      <c r="BK631" s="349"/>
      <c r="BL631" s="349"/>
      <c r="BM631" s="349"/>
      <c r="BN631" s="349"/>
      <c r="BO631" s="349"/>
      <c r="BP631" s="349"/>
      <c r="BQ631" s="349"/>
      <c r="BR631" s="349"/>
      <c r="BS631" s="349"/>
    </row>
    <row r="632" spans="1:71" x14ac:dyDescent="0.3">
      <c r="A632" s="349"/>
      <c r="B632" s="349"/>
      <c r="C632" s="349"/>
      <c r="D632" s="349"/>
      <c r="E632" s="349"/>
      <c r="F632" s="349"/>
      <c r="G632" s="349"/>
      <c r="H632" s="349"/>
      <c r="I632" s="349"/>
      <c r="J632" s="349"/>
      <c r="K632" s="349"/>
      <c r="L632" s="349"/>
      <c r="M632" s="349"/>
      <c r="N632" s="349"/>
      <c r="O632" s="349"/>
      <c r="P632" s="349"/>
      <c r="Q632" s="349"/>
      <c r="R632" s="349"/>
      <c r="S632" s="349"/>
      <c r="T632" s="349"/>
      <c r="U632" s="349"/>
      <c r="V632" s="349"/>
      <c r="W632" s="349"/>
      <c r="X632" s="349"/>
      <c r="Y632" s="349"/>
      <c r="Z632" s="349"/>
      <c r="AA632" s="349"/>
      <c r="AB632" s="349"/>
      <c r="AC632" s="349"/>
      <c r="AD632" s="349"/>
      <c r="AE632" s="349"/>
      <c r="AF632" s="349"/>
      <c r="AG632" s="349"/>
      <c r="AH632" s="349"/>
      <c r="AI632" s="349"/>
      <c r="AJ632" s="349"/>
      <c r="AK632" s="349"/>
      <c r="AL632" s="349"/>
      <c r="AM632" s="349"/>
      <c r="AN632" s="349"/>
      <c r="AO632" s="349"/>
      <c r="AP632" s="349"/>
      <c r="AQ632" s="349"/>
      <c r="AR632" s="349"/>
      <c r="AS632" s="349"/>
      <c r="AT632" s="349"/>
      <c r="AU632" s="349"/>
      <c r="AV632" s="349"/>
      <c r="AW632" s="349"/>
      <c r="AX632" s="349"/>
      <c r="AY632" s="349"/>
      <c r="AZ632" s="349"/>
      <c r="BA632" s="349"/>
      <c r="BB632" s="349"/>
      <c r="BC632" s="349"/>
      <c r="BD632" s="349"/>
      <c r="BE632" s="349"/>
      <c r="BF632" s="349"/>
      <c r="BG632" s="349"/>
      <c r="BH632" s="349"/>
      <c r="BI632" s="349"/>
      <c r="BJ632" s="349"/>
      <c r="BK632" s="349"/>
      <c r="BL632" s="349"/>
      <c r="BM632" s="349"/>
      <c r="BN632" s="349"/>
      <c r="BO632" s="349"/>
      <c r="BP632" s="349"/>
      <c r="BQ632" s="349"/>
      <c r="BR632" s="349"/>
      <c r="BS632" s="349"/>
    </row>
    <row r="633" spans="1:71" x14ac:dyDescent="0.3">
      <c r="A633" s="349"/>
      <c r="B633" s="349"/>
      <c r="C633" s="349"/>
      <c r="D633" s="349"/>
      <c r="E633" s="349"/>
      <c r="F633" s="349"/>
      <c r="G633" s="349"/>
      <c r="H633" s="349"/>
      <c r="I633" s="349"/>
      <c r="J633" s="349"/>
      <c r="K633" s="349"/>
      <c r="L633" s="349"/>
      <c r="M633" s="349"/>
      <c r="N633" s="349"/>
      <c r="O633" s="349"/>
      <c r="P633" s="349"/>
      <c r="Q633" s="349"/>
      <c r="R633" s="349"/>
      <c r="S633" s="349"/>
      <c r="T633" s="349"/>
      <c r="U633" s="349"/>
      <c r="V633" s="349"/>
      <c r="W633" s="349"/>
      <c r="X633" s="349"/>
      <c r="Y633" s="349"/>
      <c r="Z633" s="349"/>
      <c r="AA633" s="349"/>
      <c r="AB633" s="349"/>
      <c r="AC633" s="349"/>
      <c r="AD633" s="349"/>
      <c r="AE633" s="349"/>
      <c r="AF633" s="349"/>
      <c r="AG633" s="349"/>
      <c r="AH633" s="349"/>
      <c r="AI633" s="349"/>
      <c r="AJ633" s="349"/>
      <c r="AK633" s="349"/>
      <c r="AL633" s="349"/>
      <c r="AM633" s="349"/>
      <c r="AN633" s="349"/>
      <c r="AO633" s="349"/>
      <c r="AP633" s="349"/>
      <c r="AQ633" s="349"/>
      <c r="AR633" s="349"/>
      <c r="AS633" s="349"/>
      <c r="AT633" s="349"/>
      <c r="AU633" s="349"/>
      <c r="AV633" s="349"/>
      <c r="AW633" s="349"/>
      <c r="AX633" s="349"/>
      <c r="AY633" s="349"/>
      <c r="AZ633" s="349"/>
      <c r="BA633" s="349"/>
      <c r="BB633" s="349"/>
      <c r="BC633" s="349"/>
      <c r="BD633" s="349"/>
      <c r="BE633" s="349"/>
      <c r="BF633" s="349"/>
      <c r="BG633" s="349"/>
      <c r="BH633" s="349"/>
      <c r="BI633" s="349"/>
      <c r="BJ633" s="349"/>
      <c r="BK633" s="349"/>
      <c r="BL633" s="349"/>
      <c r="BM633" s="349"/>
      <c r="BN633" s="349"/>
      <c r="BO633" s="349"/>
      <c r="BP633" s="349"/>
      <c r="BQ633" s="349"/>
      <c r="BR633" s="349"/>
      <c r="BS633" s="349"/>
    </row>
    <row r="634" spans="1:71" x14ac:dyDescent="0.3">
      <c r="A634" s="349"/>
      <c r="B634" s="349"/>
      <c r="C634" s="349"/>
      <c r="D634" s="349"/>
      <c r="E634" s="349"/>
      <c r="F634" s="349"/>
      <c r="G634" s="349"/>
      <c r="H634" s="349"/>
      <c r="I634" s="349"/>
      <c r="J634" s="349"/>
      <c r="K634" s="349"/>
      <c r="L634" s="349"/>
      <c r="M634" s="349"/>
      <c r="N634" s="349"/>
      <c r="O634" s="349"/>
      <c r="P634" s="349"/>
      <c r="Q634" s="349"/>
      <c r="R634" s="349"/>
      <c r="S634" s="349"/>
      <c r="T634" s="349"/>
      <c r="U634" s="349"/>
      <c r="V634" s="349"/>
      <c r="W634" s="349"/>
      <c r="X634" s="349"/>
      <c r="Y634" s="349"/>
      <c r="Z634" s="349"/>
      <c r="AA634" s="349"/>
      <c r="AB634" s="349"/>
      <c r="AC634" s="349"/>
      <c r="AD634" s="349"/>
      <c r="AE634" s="349"/>
      <c r="AF634" s="349"/>
      <c r="AG634" s="349"/>
      <c r="AH634" s="349"/>
      <c r="AI634" s="349"/>
      <c r="AJ634" s="349"/>
      <c r="AK634" s="349"/>
      <c r="AL634" s="349"/>
      <c r="AM634" s="349"/>
      <c r="AN634" s="349"/>
      <c r="AO634" s="349"/>
      <c r="AP634" s="349"/>
      <c r="AQ634" s="349"/>
      <c r="AR634" s="349"/>
      <c r="AS634" s="349"/>
      <c r="AT634" s="349"/>
      <c r="AU634" s="349"/>
      <c r="AV634" s="349"/>
      <c r="AW634" s="349"/>
      <c r="AX634" s="349"/>
      <c r="AY634" s="349"/>
      <c r="AZ634" s="349"/>
      <c r="BA634" s="349"/>
      <c r="BB634" s="349"/>
      <c r="BC634" s="349"/>
      <c r="BD634" s="349"/>
      <c r="BE634" s="349"/>
      <c r="BF634" s="349"/>
      <c r="BG634" s="349"/>
      <c r="BH634" s="349"/>
      <c r="BI634" s="349"/>
      <c r="BJ634" s="349"/>
      <c r="BK634" s="349"/>
      <c r="BL634" s="349"/>
      <c r="BM634" s="349"/>
      <c r="BN634" s="349"/>
      <c r="BO634" s="349"/>
      <c r="BP634" s="349"/>
      <c r="BQ634" s="349"/>
      <c r="BR634" s="349"/>
      <c r="BS634" s="349"/>
    </row>
    <row r="635" spans="1:71" x14ac:dyDescent="0.3">
      <c r="A635" s="349"/>
      <c r="B635" s="349"/>
      <c r="C635" s="349"/>
      <c r="D635" s="349"/>
      <c r="E635" s="349"/>
      <c r="F635" s="349"/>
      <c r="G635" s="349"/>
      <c r="H635" s="349"/>
      <c r="I635" s="349"/>
      <c r="J635" s="349"/>
      <c r="K635" s="349"/>
      <c r="L635" s="349"/>
      <c r="M635" s="349"/>
      <c r="N635" s="349"/>
      <c r="O635" s="349"/>
      <c r="P635" s="349"/>
      <c r="Q635" s="349"/>
      <c r="R635" s="349"/>
      <c r="S635" s="349"/>
      <c r="T635" s="349"/>
      <c r="U635" s="349"/>
      <c r="V635" s="349"/>
      <c r="W635" s="349"/>
      <c r="X635" s="349"/>
      <c r="Y635" s="349"/>
      <c r="Z635" s="349"/>
      <c r="AA635" s="349"/>
      <c r="AB635" s="349"/>
      <c r="AC635" s="349"/>
      <c r="AD635" s="349"/>
      <c r="AE635" s="349"/>
      <c r="AF635" s="349"/>
      <c r="AG635" s="349"/>
      <c r="AH635" s="349"/>
      <c r="AI635" s="349"/>
      <c r="AJ635" s="349"/>
      <c r="AK635" s="349"/>
      <c r="AL635" s="349"/>
      <c r="AM635" s="349"/>
      <c r="AN635" s="349"/>
      <c r="AO635" s="349"/>
      <c r="AP635" s="349"/>
      <c r="AQ635" s="349"/>
      <c r="AR635" s="349"/>
      <c r="AS635" s="349"/>
      <c r="AT635" s="349"/>
      <c r="AU635" s="349"/>
      <c r="AV635" s="349"/>
      <c r="AW635" s="349"/>
      <c r="AX635" s="349"/>
      <c r="AY635" s="349"/>
      <c r="AZ635" s="349"/>
      <c r="BA635" s="349"/>
      <c r="BB635" s="349"/>
      <c r="BC635" s="349"/>
      <c r="BD635" s="349"/>
      <c r="BE635" s="349"/>
      <c r="BF635" s="349"/>
      <c r="BG635" s="349"/>
      <c r="BH635" s="349"/>
      <c r="BI635" s="349"/>
      <c r="BJ635" s="349"/>
      <c r="BK635" s="349"/>
      <c r="BL635" s="349"/>
      <c r="BM635" s="349"/>
      <c r="BN635" s="349"/>
      <c r="BO635" s="349"/>
      <c r="BP635" s="349"/>
      <c r="BQ635" s="349"/>
      <c r="BR635" s="349"/>
      <c r="BS635" s="349"/>
    </row>
    <row r="636" spans="1:71" x14ac:dyDescent="0.3">
      <c r="A636" s="349"/>
      <c r="B636" s="349"/>
      <c r="C636" s="349"/>
      <c r="D636" s="349"/>
      <c r="E636" s="349"/>
      <c r="F636" s="349"/>
      <c r="G636" s="349"/>
      <c r="H636" s="349"/>
      <c r="I636" s="349"/>
      <c r="J636" s="349"/>
      <c r="K636" s="349"/>
      <c r="L636" s="349"/>
      <c r="M636" s="349"/>
      <c r="N636" s="349"/>
      <c r="O636" s="349"/>
      <c r="P636" s="349"/>
      <c r="Q636" s="349"/>
      <c r="R636" s="349"/>
      <c r="S636" s="349"/>
      <c r="T636" s="349"/>
      <c r="U636" s="349"/>
      <c r="V636" s="349"/>
      <c r="W636" s="349"/>
      <c r="X636" s="349"/>
      <c r="Y636" s="349"/>
      <c r="Z636" s="349"/>
      <c r="AA636" s="349"/>
      <c r="AB636" s="349"/>
      <c r="AC636" s="349"/>
      <c r="AD636" s="349"/>
      <c r="AE636" s="349"/>
      <c r="AF636" s="349"/>
      <c r="AG636" s="349"/>
      <c r="AH636" s="349"/>
      <c r="AI636" s="349"/>
      <c r="AJ636" s="349"/>
      <c r="AK636" s="349"/>
      <c r="AL636" s="349"/>
      <c r="AM636" s="349"/>
      <c r="AN636" s="349"/>
      <c r="AO636" s="349"/>
      <c r="AP636" s="349"/>
      <c r="AQ636" s="349"/>
      <c r="AR636" s="349"/>
      <c r="AS636" s="349"/>
      <c r="AT636" s="349"/>
      <c r="AU636" s="349"/>
      <c r="AV636" s="349"/>
      <c r="AW636" s="349"/>
      <c r="AX636" s="349"/>
      <c r="AY636" s="349"/>
      <c r="AZ636" s="349"/>
      <c r="BA636" s="349"/>
      <c r="BB636" s="349"/>
      <c r="BC636" s="349"/>
      <c r="BD636" s="349"/>
      <c r="BE636" s="349"/>
      <c r="BF636" s="349"/>
      <c r="BG636" s="349"/>
      <c r="BH636" s="349"/>
      <c r="BI636" s="349"/>
      <c r="BJ636" s="349"/>
      <c r="BK636" s="349"/>
      <c r="BL636" s="349"/>
      <c r="BM636" s="349"/>
      <c r="BN636" s="349"/>
      <c r="BO636" s="349"/>
      <c r="BP636" s="349"/>
      <c r="BQ636" s="349"/>
      <c r="BR636" s="349"/>
      <c r="BS636" s="349"/>
    </row>
    <row r="637" spans="1:71" x14ac:dyDescent="0.3">
      <c r="A637" s="349"/>
      <c r="B637" s="349"/>
      <c r="C637" s="349"/>
      <c r="D637" s="349"/>
      <c r="E637" s="349"/>
      <c r="F637" s="349"/>
      <c r="G637" s="349"/>
      <c r="H637" s="349"/>
      <c r="I637" s="349"/>
      <c r="J637" s="349"/>
      <c r="K637" s="349"/>
      <c r="L637" s="349"/>
      <c r="M637" s="349"/>
      <c r="N637" s="349"/>
      <c r="O637" s="349"/>
      <c r="P637" s="349"/>
      <c r="Q637" s="349"/>
      <c r="R637" s="349"/>
      <c r="S637" s="349"/>
      <c r="T637" s="349"/>
      <c r="U637" s="349"/>
      <c r="V637" s="349"/>
      <c r="W637" s="349"/>
      <c r="X637" s="349"/>
      <c r="Y637" s="349"/>
      <c r="Z637" s="349"/>
      <c r="AA637" s="349"/>
      <c r="AB637" s="349"/>
      <c r="AC637" s="349"/>
      <c r="AD637" s="349"/>
      <c r="AE637" s="349"/>
      <c r="AF637" s="349"/>
      <c r="AG637" s="349"/>
      <c r="AH637" s="349"/>
      <c r="AI637" s="349"/>
      <c r="AJ637" s="349"/>
      <c r="AK637" s="349"/>
      <c r="AL637" s="349"/>
      <c r="AM637" s="349"/>
      <c r="AN637" s="349"/>
      <c r="AO637" s="349"/>
      <c r="AP637" s="349"/>
      <c r="AQ637" s="349"/>
      <c r="AR637" s="349"/>
      <c r="AS637" s="349"/>
      <c r="AT637" s="349"/>
      <c r="AU637" s="349"/>
      <c r="AV637" s="349"/>
      <c r="AW637" s="349"/>
      <c r="AX637" s="349"/>
      <c r="AY637" s="349"/>
      <c r="AZ637" s="349"/>
      <c r="BA637" s="349"/>
      <c r="BB637" s="349"/>
      <c r="BC637" s="349"/>
      <c r="BD637" s="349"/>
      <c r="BE637" s="349"/>
      <c r="BF637" s="349"/>
      <c r="BG637" s="349"/>
      <c r="BH637" s="349"/>
      <c r="BI637" s="349"/>
      <c r="BJ637" s="349"/>
      <c r="BK637" s="349"/>
      <c r="BL637" s="349"/>
      <c r="BM637" s="349"/>
      <c r="BN637" s="349"/>
      <c r="BO637" s="349"/>
      <c r="BP637" s="349"/>
      <c r="BQ637" s="349"/>
      <c r="BR637" s="349"/>
      <c r="BS637" s="349"/>
    </row>
    <row r="638" spans="1:71" x14ac:dyDescent="0.3">
      <c r="A638" s="349"/>
      <c r="B638" s="349"/>
      <c r="C638" s="349"/>
      <c r="D638" s="349"/>
      <c r="E638" s="349"/>
      <c r="F638" s="349"/>
      <c r="G638" s="349"/>
      <c r="H638" s="349"/>
      <c r="I638" s="349"/>
      <c r="J638" s="349"/>
      <c r="K638" s="349"/>
      <c r="L638" s="349"/>
      <c r="M638" s="349"/>
      <c r="N638" s="349"/>
      <c r="O638" s="349"/>
      <c r="P638" s="349"/>
      <c r="Q638" s="349"/>
      <c r="R638" s="349"/>
      <c r="S638" s="349"/>
      <c r="T638" s="349"/>
      <c r="U638" s="349"/>
      <c r="V638" s="349"/>
      <c r="W638" s="349"/>
      <c r="X638" s="349"/>
      <c r="Y638" s="349"/>
      <c r="Z638" s="349"/>
      <c r="AA638" s="349"/>
      <c r="AB638" s="349"/>
      <c r="AC638" s="349"/>
      <c r="AD638" s="349"/>
      <c r="AE638" s="349"/>
      <c r="AF638" s="349"/>
      <c r="AG638" s="349"/>
      <c r="AH638" s="349"/>
      <c r="AI638" s="349"/>
      <c r="AJ638" s="349"/>
      <c r="AK638" s="349"/>
      <c r="AL638" s="349"/>
      <c r="AM638" s="349"/>
      <c r="AN638" s="349"/>
      <c r="AO638" s="349"/>
      <c r="AP638" s="349"/>
      <c r="AQ638" s="349"/>
      <c r="AR638" s="349"/>
      <c r="AS638" s="349"/>
      <c r="AT638" s="349"/>
      <c r="AU638" s="349"/>
      <c r="AV638" s="349"/>
      <c r="AW638" s="349"/>
      <c r="AX638" s="349"/>
      <c r="AY638" s="349"/>
      <c r="AZ638" s="349"/>
      <c r="BA638" s="349"/>
      <c r="BB638" s="349"/>
      <c r="BC638" s="349"/>
      <c r="BD638" s="349"/>
      <c r="BE638" s="349"/>
      <c r="BF638" s="349"/>
      <c r="BG638" s="349"/>
      <c r="BH638" s="349"/>
      <c r="BI638" s="349"/>
      <c r="BJ638" s="349"/>
      <c r="BK638" s="349"/>
      <c r="BL638" s="349"/>
      <c r="BM638" s="349"/>
      <c r="BN638" s="349"/>
      <c r="BO638" s="349"/>
      <c r="BP638" s="349"/>
      <c r="BQ638" s="349"/>
      <c r="BR638" s="349"/>
      <c r="BS638" s="349"/>
    </row>
    <row r="639" spans="1:71" x14ac:dyDescent="0.3">
      <c r="A639" s="349"/>
      <c r="B639" s="349"/>
      <c r="C639" s="349"/>
      <c r="D639" s="349"/>
      <c r="E639" s="349"/>
      <c r="F639" s="349"/>
      <c r="G639" s="349"/>
      <c r="H639" s="349"/>
      <c r="I639" s="349"/>
      <c r="J639" s="349"/>
      <c r="K639" s="349"/>
      <c r="L639" s="349"/>
      <c r="M639" s="349"/>
      <c r="N639" s="349"/>
      <c r="O639" s="349"/>
      <c r="P639" s="349"/>
      <c r="Q639" s="349"/>
      <c r="R639" s="349"/>
      <c r="S639" s="349"/>
      <c r="T639" s="349"/>
      <c r="U639" s="349"/>
      <c r="V639" s="349"/>
      <c r="W639" s="349"/>
      <c r="X639" s="349"/>
      <c r="Y639" s="349"/>
      <c r="Z639" s="349"/>
      <c r="AA639" s="349"/>
      <c r="AB639" s="349"/>
      <c r="AC639" s="349"/>
      <c r="AD639" s="349"/>
      <c r="AE639" s="349"/>
      <c r="AF639" s="349"/>
      <c r="AG639" s="349"/>
      <c r="AH639" s="349"/>
      <c r="AI639" s="349"/>
      <c r="AJ639" s="349"/>
      <c r="AK639" s="349"/>
      <c r="AL639" s="349"/>
      <c r="AM639" s="349"/>
      <c r="AN639" s="349"/>
      <c r="AO639" s="349"/>
      <c r="AP639" s="349"/>
      <c r="AQ639" s="349"/>
      <c r="AR639" s="349"/>
      <c r="AS639" s="349"/>
      <c r="AT639" s="349"/>
      <c r="AU639" s="349"/>
      <c r="AV639" s="349"/>
      <c r="AW639" s="349"/>
      <c r="AX639" s="349"/>
      <c r="AY639" s="349"/>
      <c r="AZ639" s="349"/>
      <c r="BA639" s="349"/>
      <c r="BB639" s="349"/>
      <c r="BC639" s="349"/>
      <c r="BD639" s="349"/>
      <c r="BE639" s="349"/>
      <c r="BF639" s="349"/>
      <c r="BG639" s="349"/>
      <c r="BH639" s="349"/>
      <c r="BI639" s="349"/>
      <c r="BJ639" s="349"/>
      <c r="BK639" s="349"/>
      <c r="BL639" s="349"/>
      <c r="BM639" s="349"/>
      <c r="BN639" s="349"/>
      <c r="BO639" s="349"/>
      <c r="BP639" s="349"/>
      <c r="BQ639" s="349"/>
      <c r="BR639" s="349"/>
      <c r="BS639" s="349"/>
    </row>
    <row r="640" spans="1:71" x14ac:dyDescent="0.3">
      <c r="A640" s="349"/>
      <c r="B640" s="349"/>
      <c r="C640" s="349"/>
      <c r="D640" s="349"/>
      <c r="E640" s="349"/>
      <c r="F640" s="349"/>
      <c r="G640" s="349"/>
      <c r="H640" s="349"/>
      <c r="I640" s="349"/>
      <c r="J640" s="349"/>
      <c r="K640" s="349"/>
      <c r="L640" s="349"/>
      <c r="M640" s="349"/>
      <c r="N640" s="349"/>
      <c r="O640" s="349"/>
      <c r="P640" s="349"/>
      <c r="Q640" s="349"/>
      <c r="R640" s="349"/>
      <c r="S640" s="349"/>
      <c r="T640" s="349"/>
      <c r="U640" s="349"/>
      <c r="V640" s="349"/>
      <c r="W640" s="349"/>
      <c r="X640" s="349"/>
      <c r="Y640" s="349"/>
      <c r="Z640" s="349"/>
      <c r="AA640" s="349"/>
      <c r="AB640" s="349"/>
      <c r="AC640" s="349"/>
      <c r="AD640" s="349"/>
      <c r="AE640" s="349"/>
      <c r="AF640" s="349"/>
      <c r="AG640" s="349"/>
      <c r="AH640" s="349"/>
      <c r="AI640" s="349"/>
      <c r="AJ640" s="349"/>
      <c r="AK640" s="349"/>
      <c r="AL640" s="349"/>
      <c r="AM640" s="349"/>
      <c r="AN640" s="349"/>
      <c r="AO640" s="349"/>
      <c r="AP640" s="349"/>
      <c r="AQ640" s="349"/>
      <c r="AR640" s="349"/>
      <c r="AS640" s="349"/>
      <c r="AT640" s="349"/>
      <c r="AU640" s="349"/>
      <c r="AV640" s="349"/>
      <c r="AW640" s="349"/>
      <c r="AX640" s="349"/>
      <c r="AY640" s="349"/>
      <c r="AZ640" s="349"/>
      <c r="BA640" s="349"/>
      <c r="BB640" s="349"/>
      <c r="BC640" s="349"/>
      <c r="BD640" s="349"/>
      <c r="BE640" s="349"/>
      <c r="BF640" s="349"/>
      <c r="BG640" s="349"/>
      <c r="BH640" s="349"/>
      <c r="BI640" s="349"/>
      <c r="BJ640" s="349"/>
      <c r="BK640" s="349"/>
      <c r="BL640" s="349"/>
      <c r="BM640" s="349"/>
      <c r="BN640" s="349"/>
      <c r="BO640" s="349"/>
      <c r="BP640" s="349"/>
      <c r="BQ640" s="349"/>
      <c r="BR640" s="349"/>
      <c r="BS640" s="349"/>
    </row>
    <row r="641" spans="1:71" x14ac:dyDescent="0.3">
      <c r="A641" s="349"/>
      <c r="B641" s="349"/>
      <c r="C641" s="349"/>
      <c r="D641" s="349"/>
      <c r="E641" s="349"/>
      <c r="F641" s="349"/>
      <c r="G641" s="349"/>
      <c r="H641" s="349"/>
      <c r="I641" s="349"/>
      <c r="J641" s="349"/>
      <c r="K641" s="349"/>
      <c r="L641" s="349"/>
      <c r="M641" s="349"/>
      <c r="N641" s="349"/>
      <c r="O641" s="349"/>
      <c r="P641" s="349"/>
      <c r="Q641" s="349"/>
      <c r="R641" s="349"/>
      <c r="S641" s="349"/>
      <c r="T641" s="349"/>
      <c r="U641" s="349"/>
      <c r="V641" s="349"/>
      <c r="W641" s="349"/>
      <c r="X641" s="349"/>
      <c r="Y641" s="349"/>
      <c r="Z641" s="349"/>
      <c r="AA641" s="349"/>
      <c r="AB641" s="349"/>
      <c r="AC641" s="349"/>
      <c r="AD641" s="349"/>
      <c r="AE641" s="349"/>
      <c r="AF641" s="349"/>
      <c r="AG641" s="349"/>
      <c r="AH641" s="349"/>
      <c r="AI641" s="349"/>
      <c r="AJ641" s="349"/>
      <c r="AK641" s="349"/>
      <c r="AL641" s="349"/>
      <c r="AM641" s="349"/>
      <c r="AN641" s="349"/>
      <c r="AO641" s="349"/>
      <c r="AP641" s="349"/>
      <c r="AQ641" s="349"/>
      <c r="AR641" s="349"/>
      <c r="AS641" s="349"/>
      <c r="AT641" s="349"/>
      <c r="AU641" s="349"/>
      <c r="AV641" s="349"/>
      <c r="AW641" s="349"/>
      <c r="AX641" s="349"/>
      <c r="AY641" s="349"/>
      <c r="AZ641" s="349"/>
      <c r="BA641" s="349"/>
      <c r="BB641" s="349"/>
      <c r="BC641" s="349"/>
      <c r="BD641" s="349"/>
      <c r="BE641" s="349"/>
      <c r="BF641" s="349"/>
      <c r="BG641" s="349"/>
      <c r="BH641" s="349"/>
      <c r="BI641" s="349"/>
      <c r="BJ641" s="349"/>
      <c r="BK641" s="349"/>
      <c r="BL641" s="349"/>
      <c r="BM641" s="349"/>
      <c r="BN641" s="349"/>
      <c r="BO641" s="349"/>
      <c r="BP641" s="349"/>
      <c r="BQ641" s="349"/>
      <c r="BR641" s="349"/>
      <c r="BS641" s="349"/>
    </row>
    <row r="642" spans="1:71" x14ac:dyDescent="0.3">
      <c r="A642" s="349"/>
      <c r="B642" s="349"/>
      <c r="C642" s="349"/>
      <c r="D642" s="349"/>
      <c r="E642" s="349"/>
      <c r="F642" s="349"/>
      <c r="G642" s="349"/>
      <c r="H642" s="349"/>
      <c r="I642" s="349"/>
      <c r="J642" s="349"/>
      <c r="K642" s="349"/>
      <c r="L642" s="349"/>
      <c r="M642" s="349"/>
      <c r="N642" s="349"/>
      <c r="O642" s="349"/>
      <c r="P642" s="349"/>
      <c r="Q642" s="349"/>
      <c r="R642" s="349"/>
      <c r="S642" s="349"/>
      <c r="T642" s="349"/>
      <c r="U642" s="349"/>
      <c r="V642" s="349"/>
      <c r="W642" s="349"/>
      <c r="X642" s="349"/>
      <c r="Y642" s="349"/>
      <c r="Z642" s="349"/>
      <c r="AA642" s="349"/>
      <c r="AB642" s="349"/>
      <c r="AC642" s="349"/>
      <c r="AD642" s="349"/>
      <c r="AE642" s="349"/>
      <c r="AF642" s="349"/>
      <c r="AG642" s="349"/>
      <c r="AH642" s="349"/>
      <c r="AI642" s="349"/>
      <c r="AJ642" s="349"/>
      <c r="AK642" s="349"/>
      <c r="AL642" s="349"/>
      <c r="AM642" s="349"/>
      <c r="AN642" s="349"/>
      <c r="AO642" s="349"/>
      <c r="AP642" s="349"/>
      <c r="AQ642" s="349"/>
      <c r="AR642" s="349"/>
      <c r="AS642" s="349"/>
      <c r="AT642" s="349"/>
      <c r="AU642" s="349"/>
      <c r="AV642" s="349"/>
      <c r="AW642" s="349"/>
      <c r="AX642" s="349"/>
      <c r="AY642" s="349"/>
      <c r="AZ642" s="349"/>
      <c r="BA642" s="349"/>
      <c r="BB642" s="349"/>
      <c r="BC642" s="349"/>
      <c r="BD642" s="349"/>
      <c r="BE642" s="349"/>
      <c r="BF642" s="349"/>
      <c r="BG642" s="349"/>
      <c r="BH642" s="349"/>
      <c r="BI642" s="349"/>
      <c r="BJ642" s="349"/>
      <c r="BK642" s="349"/>
      <c r="BL642" s="349"/>
      <c r="BM642" s="349"/>
      <c r="BN642" s="349"/>
      <c r="BO642" s="349"/>
      <c r="BP642" s="349"/>
      <c r="BQ642" s="349"/>
      <c r="BR642" s="349"/>
      <c r="BS642" s="349"/>
    </row>
    <row r="643" spans="1:71" x14ac:dyDescent="0.3">
      <c r="A643" s="349"/>
      <c r="B643" s="349"/>
      <c r="C643" s="349"/>
      <c r="D643" s="349"/>
      <c r="E643" s="349"/>
      <c r="F643" s="349"/>
      <c r="G643" s="349"/>
      <c r="H643" s="349"/>
      <c r="I643" s="349"/>
      <c r="J643" s="349"/>
      <c r="K643" s="349"/>
      <c r="L643" s="349"/>
      <c r="M643" s="349"/>
      <c r="N643" s="349"/>
      <c r="O643" s="349"/>
      <c r="P643" s="349"/>
      <c r="Q643" s="349"/>
      <c r="R643" s="349"/>
      <c r="S643" s="349"/>
      <c r="T643" s="349"/>
      <c r="U643" s="349"/>
      <c r="V643" s="349"/>
      <c r="W643" s="349"/>
      <c r="X643" s="349"/>
      <c r="Y643" s="349"/>
      <c r="Z643" s="349"/>
      <c r="AA643" s="349"/>
      <c r="AB643" s="349"/>
      <c r="AC643" s="349"/>
      <c r="AD643" s="349"/>
      <c r="AE643" s="349"/>
      <c r="AF643" s="349"/>
      <c r="AG643" s="349"/>
      <c r="AH643" s="349"/>
      <c r="AI643" s="349"/>
      <c r="AJ643" s="349"/>
      <c r="AK643" s="349"/>
      <c r="AL643" s="349"/>
      <c r="AM643" s="349"/>
      <c r="AN643" s="349"/>
      <c r="AO643" s="349"/>
      <c r="AP643" s="349"/>
      <c r="AQ643" s="349"/>
      <c r="AR643" s="349"/>
      <c r="AS643" s="349"/>
      <c r="AT643" s="349"/>
      <c r="AU643" s="349"/>
      <c r="AV643" s="349"/>
      <c r="AW643" s="349"/>
      <c r="AX643" s="349"/>
      <c r="AY643" s="349"/>
      <c r="AZ643" s="349"/>
      <c r="BA643" s="349"/>
      <c r="BB643" s="349"/>
      <c r="BC643" s="349"/>
      <c r="BD643" s="349"/>
      <c r="BE643" s="349"/>
      <c r="BF643" s="349"/>
      <c r="BG643" s="349"/>
      <c r="BH643" s="349"/>
      <c r="BI643" s="349"/>
      <c r="BJ643" s="349"/>
      <c r="BK643" s="349"/>
      <c r="BL643" s="349"/>
      <c r="BM643" s="349"/>
      <c r="BN643" s="349"/>
      <c r="BO643" s="349"/>
      <c r="BP643" s="349"/>
      <c r="BQ643" s="349"/>
      <c r="BR643" s="349"/>
      <c r="BS643" s="349"/>
    </row>
    <row r="644" spans="1:71" x14ac:dyDescent="0.3">
      <c r="A644" s="349"/>
      <c r="B644" s="349"/>
      <c r="C644" s="349"/>
      <c r="D644" s="349"/>
      <c r="E644" s="349"/>
      <c r="F644" s="349"/>
      <c r="G644" s="349"/>
      <c r="H644" s="349"/>
      <c r="I644" s="349"/>
      <c r="J644" s="349"/>
      <c r="K644" s="349"/>
      <c r="L644" s="349"/>
      <c r="M644" s="349"/>
      <c r="N644" s="349"/>
      <c r="O644" s="349"/>
      <c r="P644" s="349"/>
      <c r="Q644" s="349"/>
      <c r="R644" s="349"/>
      <c r="S644" s="349"/>
      <c r="T644" s="349"/>
      <c r="U644" s="349"/>
      <c r="V644" s="349"/>
      <c r="W644" s="349"/>
      <c r="X644" s="349"/>
      <c r="Y644" s="349"/>
      <c r="Z644" s="349"/>
      <c r="AA644" s="349"/>
      <c r="AB644" s="349"/>
      <c r="AC644" s="349"/>
      <c r="AD644" s="349"/>
      <c r="AE644" s="349"/>
      <c r="AF644" s="349"/>
      <c r="AG644" s="349"/>
      <c r="AH644" s="349"/>
      <c r="AI644" s="349"/>
      <c r="AJ644" s="349"/>
      <c r="AK644" s="349"/>
      <c r="AL644" s="349"/>
      <c r="AM644" s="349"/>
      <c r="AN644" s="349"/>
      <c r="AO644" s="349"/>
      <c r="AP644" s="349"/>
      <c r="AQ644" s="349"/>
      <c r="AR644" s="349"/>
      <c r="AS644" s="349"/>
      <c r="AT644" s="349"/>
      <c r="AU644" s="349"/>
      <c r="AV644" s="349"/>
      <c r="AW644" s="349"/>
      <c r="AX644" s="349"/>
      <c r="AY644" s="349"/>
      <c r="AZ644" s="349"/>
      <c r="BA644" s="349"/>
      <c r="BB644" s="349"/>
      <c r="BC644" s="349"/>
      <c r="BD644" s="349"/>
      <c r="BE644" s="349"/>
      <c r="BF644" s="349"/>
      <c r="BG644" s="349"/>
      <c r="BH644" s="349"/>
      <c r="BI644" s="349"/>
      <c r="BJ644" s="349"/>
      <c r="BK644" s="349"/>
      <c r="BL644" s="349"/>
      <c r="BM644" s="349"/>
      <c r="BN644" s="349"/>
      <c r="BO644" s="349"/>
      <c r="BP644" s="349"/>
      <c r="BQ644" s="349"/>
      <c r="BR644" s="349"/>
      <c r="BS644" s="349"/>
    </row>
    <row r="645" spans="1:71" x14ac:dyDescent="0.3">
      <c r="A645" s="349"/>
      <c r="B645" s="349"/>
      <c r="C645" s="349"/>
      <c r="D645" s="349"/>
      <c r="E645" s="349"/>
      <c r="F645" s="349"/>
      <c r="G645" s="349"/>
      <c r="H645" s="349"/>
      <c r="I645" s="349"/>
      <c r="J645" s="349"/>
      <c r="K645" s="349"/>
      <c r="L645" s="349"/>
      <c r="M645" s="349"/>
      <c r="N645" s="349"/>
      <c r="O645" s="349"/>
      <c r="P645" s="349"/>
      <c r="Q645" s="349"/>
      <c r="R645" s="349"/>
      <c r="S645" s="349"/>
      <c r="T645" s="349"/>
      <c r="U645" s="349"/>
      <c r="V645" s="349"/>
      <c r="W645" s="349"/>
      <c r="X645" s="349"/>
      <c r="Y645" s="349"/>
      <c r="Z645" s="349"/>
      <c r="AA645" s="349"/>
      <c r="AB645" s="349"/>
      <c r="AC645" s="349"/>
      <c r="AD645" s="349"/>
      <c r="AE645" s="349"/>
      <c r="AF645" s="349"/>
      <c r="AG645" s="349"/>
      <c r="AH645" s="349"/>
      <c r="AI645" s="349"/>
      <c r="AJ645" s="349"/>
      <c r="AK645" s="349"/>
      <c r="AL645" s="349"/>
      <c r="AM645" s="349"/>
      <c r="AN645" s="349"/>
      <c r="AO645" s="349"/>
      <c r="AP645" s="349"/>
      <c r="AQ645" s="349"/>
      <c r="AR645" s="349"/>
      <c r="AS645" s="349"/>
      <c r="AT645" s="349"/>
      <c r="AU645" s="349"/>
      <c r="AV645" s="349"/>
      <c r="AW645" s="349"/>
      <c r="AX645" s="349"/>
      <c r="AY645" s="349"/>
      <c r="AZ645" s="349"/>
      <c r="BA645" s="349"/>
      <c r="BB645" s="349"/>
      <c r="BC645" s="349"/>
      <c r="BD645" s="349"/>
      <c r="BE645" s="349"/>
      <c r="BF645" s="349"/>
      <c r="BG645" s="349"/>
      <c r="BH645" s="349"/>
      <c r="BI645" s="349"/>
      <c r="BJ645" s="349"/>
      <c r="BK645" s="349"/>
      <c r="BL645" s="349"/>
      <c r="BM645" s="349"/>
      <c r="BN645" s="349"/>
      <c r="BO645" s="349"/>
      <c r="BP645" s="349"/>
      <c r="BQ645" s="349"/>
      <c r="BR645" s="349"/>
      <c r="BS645" s="349"/>
    </row>
    <row r="646" spans="1:71" x14ac:dyDescent="0.3">
      <c r="A646" s="349"/>
      <c r="B646" s="349"/>
      <c r="C646" s="349"/>
      <c r="D646" s="349"/>
      <c r="E646" s="349"/>
      <c r="F646" s="349"/>
      <c r="G646" s="349"/>
      <c r="H646" s="349"/>
      <c r="I646" s="349"/>
      <c r="J646" s="349"/>
      <c r="K646" s="349"/>
      <c r="L646" s="349"/>
      <c r="M646" s="349"/>
      <c r="N646" s="349"/>
      <c r="O646" s="349"/>
      <c r="P646" s="349"/>
      <c r="Q646" s="349"/>
      <c r="R646" s="349"/>
      <c r="S646" s="349"/>
      <c r="T646" s="349"/>
      <c r="U646" s="349"/>
      <c r="V646" s="349"/>
      <c r="W646" s="349"/>
      <c r="X646" s="349"/>
      <c r="Y646" s="349"/>
      <c r="Z646" s="349"/>
      <c r="AA646" s="349"/>
      <c r="AB646" s="349"/>
      <c r="AC646" s="349"/>
      <c r="AD646" s="349"/>
      <c r="AE646" s="349"/>
      <c r="AF646" s="349"/>
      <c r="AG646" s="349"/>
      <c r="AH646" s="349"/>
      <c r="AI646" s="349"/>
      <c r="AJ646" s="349"/>
      <c r="AK646" s="349"/>
      <c r="AL646" s="349"/>
      <c r="AM646" s="349"/>
      <c r="AN646" s="349"/>
      <c r="AO646" s="349"/>
      <c r="AP646" s="349"/>
      <c r="AQ646" s="349"/>
      <c r="AR646" s="349"/>
      <c r="AS646" s="349"/>
      <c r="AT646" s="349"/>
      <c r="AU646" s="349"/>
      <c r="AV646" s="349"/>
      <c r="AW646" s="349"/>
      <c r="AX646" s="349"/>
      <c r="AY646" s="349"/>
      <c r="AZ646" s="349"/>
      <c r="BA646" s="349"/>
      <c r="BB646" s="349"/>
      <c r="BC646" s="349"/>
      <c r="BD646" s="349"/>
      <c r="BE646" s="349"/>
      <c r="BF646" s="349"/>
      <c r="BG646" s="349"/>
      <c r="BH646" s="349"/>
      <c r="BI646" s="349"/>
      <c r="BJ646" s="349"/>
      <c r="BK646" s="349"/>
      <c r="BL646" s="349"/>
      <c r="BM646" s="349"/>
      <c r="BN646" s="349"/>
      <c r="BO646" s="349"/>
      <c r="BP646" s="349"/>
      <c r="BQ646" s="349"/>
      <c r="BR646" s="349"/>
      <c r="BS646" s="349"/>
    </row>
    <row r="647" spans="1:71" x14ac:dyDescent="0.3">
      <c r="A647" s="349"/>
      <c r="B647" s="349"/>
      <c r="C647" s="349"/>
      <c r="D647" s="349"/>
      <c r="E647" s="349"/>
      <c r="F647" s="349"/>
      <c r="G647" s="349"/>
      <c r="H647" s="349"/>
      <c r="I647" s="349"/>
      <c r="J647" s="349"/>
      <c r="K647" s="349"/>
      <c r="L647" s="349"/>
      <c r="M647" s="349"/>
      <c r="N647" s="349"/>
      <c r="O647" s="349"/>
      <c r="P647" s="349"/>
      <c r="Q647" s="349"/>
      <c r="R647" s="349"/>
      <c r="S647" s="349"/>
      <c r="T647" s="349"/>
      <c r="U647" s="349"/>
      <c r="V647" s="349"/>
      <c r="W647" s="349"/>
      <c r="X647" s="349"/>
      <c r="Y647" s="349"/>
      <c r="Z647" s="349"/>
      <c r="AA647" s="349"/>
      <c r="AB647" s="349"/>
      <c r="AC647" s="349"/>
      <c r="AD647" s="349"/>
      <c r="AE647" s="349"/>
      <c r="AF647" s="349"/>
      <c r="AG647" s="349"/>
      <c r="AH647" s="349"/>
      <c r="AI647" s="349"/>
      <c r="AJ647" s="349"/>
      <c r="AK647" s="349"/>
      <c r="AL647" s="349"/>
      <c r="AM647" s="349"/>
      <c r="AN647" s="349"/>
      <c r="AO647" s="349"/>
      <c r="AP647" s="349"/>
      <c r="AQ647" s="349"/>
      <c r="AR647" s="349"/>
      <c r="AS647" s="349"/>
      <c r="AT647" s="349"/>
      <c r="AU647" s="349"/>
      <c r="AV647" s="349"/>
      <c r="AW647" s="349"/>
      <c r="AX647" s="349"/>
      <c r="AY647" s="349"/>
      <c r="AZ647" s="349"/>
      <c r="BA647" s="349"/>
      <c r="BB647" s="349"/>
      <c r="BC647" s="349"/>
      <c r="BD647" s="349"/>
      <c r="BE647" s="349"/>
      <c r="BF647" s="349"/>
      <c r="BG647" s="349"/>
      <c r="BH647" s="349"/>
      <c r="BI647" s="349"/>
      <c r="BJ647" s="349"/>
      <c r="BK647" s="349"/>
      <c r="BL647" s="349"/>
      <c r="BM647" s="349"/>
      <c r="BN647" s="349"/>
      <c r="BO647" s="349"/>
      <c r="BP647" s="349"/>
      <c r="BQ647" s="349"/>
      <c r="BR647" s="349"/>
      <c r="BS647" s="349"/>
    </row>
    <row r="648" spans="1:71" x14ac:dyDescent="0.3">
      <c r="A648" s="349"/>
      <c r="B648" s="349"/>
      <c r="C648" s="349"/>
      <c r="D648" s="349"/>
      <c r="E648" s="349"/>
      <c r="F648" s="349"/>
      <c r="G648" s="349"/>
      <c r="H648" s="349"/>
      <c r="I648" s="349"/>
      <c r="J648" s="349"/>
      <c r="K648" s="349"/>
      <c r="L648" s="349"/>
      <c r="M648" s="349"/>
      <c r="N648" s="349"/>
      <c r="O648" s="349"/>
      <c r="P648" s="349"/>
      <c r="Q648" s="349"/>
      <c r="R648" s="349"/>
      <c r="S648" s="349"/>
      <c r="T648" s="349"/>
      <c r="U648" s="349"/>
      <c r="V648" s="349"/>
      <c r="W648" s="349"/>
      <c r="X648" s="349"/>
      <c r="Y648" s="349"/>
      <c r="Z648" s="349"/>
      <c r="AA648" s="349"/>
      <c r="AB648" s="349"/>
      <c r="AC648" s="349"/>
      <c r="AD648" s="349"/>
      <c r="AE648" s="349"/>
      <c r="AF648" s="349"/>
      <c r="AG648" s="349"/>
      <c r="AH648" s="349"/>
      <c r="AI648" s="349"/>
      <c r="AJ648" s="349"/>
      <c r="AK648" s="349"/>
      <c r="AL648" s="349"/>
      <c r="AM648" s="349"/>
      <c r="AN648" s="349"/>
      <c r="AO648" s="349"/>
      <c r="AP648" s="349"/>
      <c r="AQ648" s="349"/>
      <c r="AR648" s="349"/>
      <c r="AS648" s="349"/>
      <c r="AT648" s="349"/>
      <c r="AU648" s="349"/>
      <c r="AV648" s="349"/>
      <c r="AW648" s="349"/>
      <c r="AX648" s="349"/>
      <c r="AY648" s="349"/>
      <c r="AZ648" s="349"/>
      <c r="BA648" s="349"/>
      <c r="BB648" s="349"/>
      <c r="BC648" s="349"/>
      <c r="BD648" s="349"/>
      <c r="BE648" s="349"/>
      <c r="BF648" s="349"/>
      <c r="BG648" s="349"/>
      <c r="BH648" s="349"/>
      <c r="BI648" s="349"/>
      <c r="BJ648" s="349"/>
      <c r="BK648" s="349"/>
      <c r="BL648" s="349"/>
      <c r="BM648" s="349"/>
      <c r="BN648" s="349"/>
      <c r="BO648" s="349"/>
      <c r="BP648" s="349"/>
      <c r="BQ648" s="349"/>
      <c r="BR648" s="349"/>
      <c r="BS648" s="349"/>
    </row>
    <row r="649" spans="1:71" x14ac:dyDescent="0.3">
      <c r="A649" s="349"/>
      <c r="B649" s="349"/>
      <c r="C649" s="349"/>
      <c r="D649" s="349"/>
      <c r="E649" s="349"/>
      <c r="F649" s="349"/>
      <c r="G649" s="349"/>
      <c r="H649" s="349"/>
      <c r="I649" s="349"/>
      <c r="J649" s="349"/>
      <c r="K649" s="349"/>
      <c r="L649" s="349"/>
      <c r="M649" s="349"/>
      <c r="N649" s="349"/>
      <c r="O649" s="349"/>
      <c r="P649" s="349"/>
      <c r="Q649" s="349"/>
      <c r="R649" s="349"/>
      <c r="S649" s="349"/>
      <c r="T649" s="349"/>
      <c r="U649" s="349"/>
      <c r="V649" s="349"/>
      <c r="W649" s="349"/>
      <c r="X649" s="349"/>
      <c r="Y649" s="349"/>
      <c r="Z649" s="349"/>
      <c r="AA649" s="349"/>
      <c r="AB649" s="349"/>
      <c r="AC649" s="349"/>
      <c r="AD649" s="349"/>
      <c r="AE649" s="349"/>
      <c r="AF649" s="349"/>
      <c r="AG649" s="349"/>
      <c r="AH649" s="349"/>
      <c r="AI649" s="349"/>
      <c r="AJ649" s="349"/>
      <c r="AK649" s="349"/>
      <c r="AL649" s="349"/>
      <c r="AM649" s="349"/>
      <c r="AN649" s="349"/>
      <c r="AO649" s="349"/>
      <c r="AP649" s="349"/>
      <c r="AQ649" s="349"/>
      <c r="AR649" s="349"/>
      <c r="AS649" s="349"/>
      <c r="AT649" s="349"/>
      <c r="AU649" s="349"/>
      <c r="AV649" s="349"/>
      <c r="AW649" s="349"/>
      <c r="AX649" s="349"/>
      <c r="AY649" s="349"/>
      <c r="AZ649" s="349"/>
      <c r="BA649" s="349"/>
      <c r="BB649" s="349"/>
      <c r="BC649" s="349"/>
      <c r="BD649" s="349"/>
      <c r="BE649" s="349"/>
      <c r="BF649" s="349"/>
      <c r="BG649" s="349"/>
      <c r="BH649" s="349"/>
      <c r="BI649" s="349"/>
      <c r="BJ649" s="349"/>
      <c r="BK649" s="349"/>
      <c r="BL649" s="349"/>
      <c r="BM649" s="349"/>
      <c r="BN649" s="349"/>
      <c r="BO649" s="349"/>
      <c r="BP649" s="349"/>
      <c r="BQ649" s="349"/>
      <c r="BR649" s="349"/>
      <c r="BS649" s="349"/>
    </row>
    <row r="650" spans="1:71" x14ac:dyDescent="0.3">
      <c r="A650" s="349"/>
      <c r="B650" s="349"/>
      <c r="C650" s="349"/>
      <c r="D650" s="349"/>
      <c r="E650" s="349"/>
      <c r="F650" s="349"/>
      <c r="G650" s="349"/>
      <c r="H650" s="349"/>
      <c r="I650" s="349"/>
      <c r="J650" s="349"/>
      <c r="K650" s="349"/>
      <c r="L650" s="349"/>
      <c r="M650" s="349"/>
      <c r="N650" s="349"/>
      <c r="O650" s="349"/>
      <c r="P650" s="349"/>
      <c r="Q650" s="349"/>
      <c r="R650" s="349"/>
      <c r="S650" s="349"/>
      <c r="T650" s="349"/>
      <c r="U650" s="349"/>
      <c r="V650" s="349"/>
      <c r="W650" s="349"/>
      <c r="X650" s="349"/>
      <c r="Y650" s="349"/>
      <c r="Z650" s="349"/>
      <c r="AA650" s="349"/>
      <c r="AB650" s="349"/>
      <c r="AC650" s="349"/>
      <c r="AD650" s="349"/>
      <c r="AE650" s="349"/>
      <c r="AF650" s="349"/>
      <c r="AG650" s="349"/>
      <c r="AH650" s="349"/>
      <c r="AI650" s="349"/>
      <c r="AJ650" s="349"/>
      <c r="AK650" s="349"/>
      <c r="AL650" s="349"/>
      <c r="AM650" s="349"/>
      <c r="AN650" s="349"/>
      <c r="AO650" s="349"/>
      <c r="AP650" s="349"/>
      <c r="AQ650" s="349"/>
      <c r="AR650" s="349"/>
      <c r="AS650" s="349"/>
      <c r="AT650" s="349"/>
      <c r="AU650" s="349"/>
      <c r="AV650" s="349"/>
      <c r="AW650" s="349"/>
      <c r="AX650" s="349"/>
      <c r="AY650" s="349"/>
      <c r="AZ650" s="349"/>
      <c r="BA650" s="349"/>
      <c r="BB650" s="349"/>
      <c r="BC650" s="349"/>
      <c r="BD650" s="349"/>
      <c r="BE650" s="349"/>
      <c r="BF650" s="349"/>
      <c r="BG650" s="349"/>
      <c r="BH650" s="349"/>
      <c r="BI650" s="349"/>
      <c r="BJ650" s="349"/>
      <c r="BK650" s="349"/>
      <c r="BL650" s="349"/>
      <c r="BM650" s="349"/>
      <c r="BN650" s="349"/>
      <c r="BO650" s="349"/>
      <c r="BP650" s="349"/>
      <c r="BQ650" s="349"/>
      <c r="BR650" s="349"/>
      <c r="BS650" s="349"/>
    </row>
    <row r="651" spans="1:71" x14ac:dyDescent="0.3">
      <c r="A651" s="349"/>
      <c r="B651" s="349"/>
      <c r="C651" s="349"/>
      <c r="D651" s="349"/>
      <c r="E651" s="349"/>
      <c r="F651" s="349"/>
      <c r="G651" s="349"/>
      <c r="H651" s="349"/>
      <c r="I651" s="349"/>
      <c r="J651" s="349"/>
      <c r="K651" s="349"/>
      <c r="L651" s="349"/>
      <c r="M651" s="349"/>
      <c r="N651" s="349"/>
      <c r="O651" s="349"/>
      <c r="P651" s="349"/>
      <c r="Q651" s="349"/>
      <c r="R651" s="349"/>
      <c r="S651" s="349"/>
      <c r="T651" s="349"/>
      <c r="U651" s="349"/>
      <c r="V651" s="349"/>
      <c r="W651" s="349"/>
      <c r="X651" s="349"/>
      <c r="Y651" s="349"/>
      <c r="Z651" s="349"/>
      <c r="AA651" s="349"/>
      <c r="AB651" s="349"/>
      <c r="AC651" s="349"/>
      <c r="AD651" s="349"/>
      <c r="AE651" s="349"/>
      <c r="AF651" s="349"/>
      <c r="AG651" s="349"/>
      <c r="AH651" s="349"/>
      <c r="AI651" s="349"/>
      <c r="AJ651" s="349"/>
      <c r="AK651" s="349"/>
      <c r="AL651" s="349"/>
      <c r="AM651" s="349"/>
      <c r="AN651" s="349"/>
      <c r="AO651" s="349"/>
      <c r="AP651" s="349"/>
      <c r="AQ651" s="349"/>
      <c r="AR651" s="349"/>
      <c r="AS651" s="349"/>
      <c r="AT651" s="349"/>
      <c r="AU651" s="349"/>
      <c r="AV651" s="349"/>
      <c r="AW651" s="349"/>
      <c r="AX651" s="349"/>
      <c r="AY651" s="349"/>
      <c r="AZ651" s="349"/>
      <c r="BA651" s="349"/>
      <c r="BB651" s="349"/>
      <c r="BC651" s="349"/>
      <c r="BD651" s="349"/>
      <c r="BE651" s="349"/>
      <c r="BF651" s="349"/>
      <c r="BG651" s="349"/>
      <c r="BH651" s="349"/>
      <c r="BI651" s="349"/>
      <c r="BJ651" s="349"/>
      <c r="BK651" s="349"/>
      <c r="BL651" s="349"/>
      <c r="BM651" s="349"/>
      <c r="BN651" s="349"/>
      <c r="BO651" s="349"/>
      <c r="BP651" s="349"/>
      <c r="BQ651" s="349"/>
      <c r="BR651" s="349"/>
      <c r="BS651" s="349"/>
    </row>
    <row r="652" spans="1:71" x14ac:dyDescent="0.3">
      <c r="A652" s="349"/>
      <c r="B652" s="349"/>
      <c r="C652" s="349"/>
      <c r="D652" s="349"/>
      <c r="E652" s="349"/>
      <c r="F652" s="349"/>
      <c r="G652" s="349"/>
      <c r="H652" s="349"/>
      <c r="I652" s="349"/>
      <c r="J652" s="349"/>
      <c r="K652" s="349"/>
      <c r="L652" s="349"/>
      <c r="M652" s="349"/>
      <c r="N652" s="349"/>
      <c r="O652" s="349"/>
      <c r="P652" s="349"/>
      <c r="Q652" s="349"/>
      <c r="R652" s="349"/>
      <c r="S652" s="349"/>
      <c r="T652" s="349"/>
      <c r="U652" s="349"/>
      <c r="V652" s="349"/>
      <c r="W652" s="349"/>
      <c r="X652" s="349"/>
      <c r="Y652" s="349"/>
      <c r="Z652" s="349"/>
      <c r="AA652" s="349"/>
      <c r="AB652" s="349"/>
      <c r="AC652" s="349"/>
      <c r="AD652" s="349"/>
      <c r="AE652" s="349"/>
      <c r="AF652" s="349"/>
      <c r="AG652" s="349"/>
      <c r="AH652" s="349"/>
      <c r="AI652" s="349"/>
      <c r="AJ652" s="349"/>
      <c r="AK652" s="349"/>
      <c r="AL652" s="349"/>
      <c r="AM652" s="349"/>
      <c r="AN652" s="349"/>
      <c r="AO652" s="349"/>
      <c r="AP652" s="349"/>
      <c r="AQ652" s="349"/>
      <c r="AR652" s="349"/>
      <c r="AS652" s="349"/>
      <c r="AT652" s="349"/>
      <c r="AU652" s="349"/>
      <c r="AV652" s="349"/>
      <c r="AW652" s="349"/>
      <c r="AX652" s="349"/>
      <c r="AY652" s="349"/>
      <c r="AZ652" s="349"/>
      <c r="BA652" s="349"/>
      <c r="BB652" s="349"/>
      <c r="BC652" s="349"/>
      <c r="BD652" s="349"/>
      <c r="BE652" s="349"/>
      <c r="BF652" s="349"/>
      <c r="BG652" s="349"/>
      <c r="BH652" s="349"/>
      <c r="BI652" s="349"/>
      <c r="BJ652" s="349"/>
      <c r="BK652" s="349"/>
      <c r="BL652" s="349"/>
      <c r="BM652" s="349"/>
      <c r="BN652" s="349"/>
      <c r="BO652" s="349"/>
      <c r="BP652" s="349"/>
      <c r="BQ652" s="349"/>
      <c r="BR652" s="349"/>
      <c r="BS652" s="349"/>
    </row>
    <row r="653" spans="1:71" x14ac:dyDescent="0.3">
      <c r="A653" s="349"/>
      <c r="B653" s="349"/>
      <c r="C653" s="349"/>
      <c r="D653" s="349"/>
      <c r="E653" s="349"/>
      <c r="F653" s="349"/>
      <c r="G653" s="349"/>
      <c r="H653" s="349"/>
      <c r="I653" s="349"/>
      <c r="J653" s="349"/>
      <c r="K653" s="349"/>
      <c r="L653" s="349"/>
      <c r="M653" s="349"/>
      <c r="N653" s="349"/>
      <c r="O653" s="349"/>
      <c r="P653" s="349"/>
      <c r="Q653" s="349"/>
      <c r="R653" s="349"/>
      <c r="S653" s="349"/>
      <c r="T653" s="349"/>
      <c r="U653" s="349"/>
      <c r="V653" s="349"/>
      <c r="W653" s="349"/>
      <c r="X653" s="349"/>
      <c r="Y653" s="349"/>
      <c r="Z653" s="349"/>
      <c r="AA653" s="349"/>
      <c r="AB653" s="349"/>
      <c r="AC653" s="349"/>
      <c r="AD653" s="349"/>
      <c r="AE653" s="349"/>
      <c r="AF653" s="349"/>
      <c r="AG653" s="349"/>
      <c r="AH653" s="349"/>
      <c r="AI653" s="349"/>
      <c r="AJ653" s="349"/>
      <c r="AK653" s="349"/>
      <c r="AL653" s="349"/>
      <c r="AM653" s="349"/>
      <c r="AN653" s="349"/>
      <c r="AO653" s="349"/>
      <c r="AP653" s="349"/>
      <c r="AQ653" s="349"/>
      <c r="AR653" s="349"/>
      <c r="AS653" s="349"/>
      <c r="AT653" s="349"/>
      <c r="AU653" s="349"/>
      <c r="AV653" s="349"/>
      <c r="AW653" s="349"/>
      <c r="AX653" s="349"/>
      <c r="AY653" s="349"/>
      <c r="AZ653" s="349"/>
      <c r="BA653" s="349"/>
      <c r="BB653" s="349"/>
      <c r="BC653" s="349"/>
      <c r="BD653" s="349"/>
      <c r="BE653" s="349"/>
      <c r="BF653" s="349"/>
      <c r="BG653" s="349"/>
      <c r="BH653" s="349"/>
      <c r="BI653" s="349"/>
      <c r="BJ653" s="349"/>
      <c r="BK653" s="349"/>
      <c r="BL653" s="349"/>
      <c r="BM653" s="349"/>
      <c r="BN653" s="349"/>
      <c r="BO653" s="349"/>
      <c r="BP653" s="349"/>
      <c r="BQ653" s="349"/>
      <c r="BR653" s="349"/>
      <c r="BS653" s="349"/>
    </row>
    <row r="654" spans="1:71" x14ac:dyDescent="0.3">
      <c r="A654" s="349"/>
      <c r="B654" s="349"/>
      <c r="C654" s="349"/>
      <c r="D654" s="349"/>
      <c r="E654" s="349"/>
      <c r="F654" s="349"/>
      <c r="G654" s="349"/>
      <c r="H654" s="349"/>
      <c r="I654" s="349"/>
      <c r="J654" s="349"/>
      <c r="K654" s="349"/>
      <c r="L654" s="349"/>
      <c r="M654" s="349"/>
      <c r="N654" s="349"/>
      <c r="O654" s="349"/>
      <c r="P654" s="349"/>
      <c r="Q654" s="349"/>
      <c r="R654" s="349"/>
      <c r="S654" s="349"/>
      <c r="T654" s="349"/>
      <c r="U654" s="349"/>
      <c r="V654" s="349"/>
      <c r="W654" s="349"/>
      <c r="X654" s="349"/>
      <c r="Y654" s="349"/>
      <c r="Z654" s="349"/>
      <c r="AA654" s="349"/>
      <c r="AB654" s="349"/>
      <c r="AC654" s="349"/>
      <c r="AD654" s="349"/>
      <c r="AE654" s="349"/>
      <c r="AF654" s="349"/>
      <c r="AG654" s="349"/>
      <c r="AH654" s="349"/>
      <c r="AI654" s="349"/>
      <c r="AJ654" s="349"/>
      <c r="AK654" s="349"/>
      <c r="AL654" s="349"/>
      <c r="AM654" s="349"/>
      <c r="AN654" s="349"/>
      <c r="AO654" s="349"/>
      <c r="AP654" s="349"/>
      <c r="AQ654" s="349"/>
      <c r="AR654" s="349"/>
      <c r="AS654" s="349"/>
      <c r="AT654" s="349"/>
      <c r="AU654" s="349"/>
      <c r="AV654" s="349"/>
      <c r="AW654" s="349"/>
      <c r="AX654" s="349"/>
      <c r="AY654" s="349"/>
      <c r="AZ654" s="349"/>
      <c r="BA654" s="349"/>
      <c r="BB654" s="349"/>
      <c r="BC654" s="349"/>
      <c r="BD654" s="349"/>
      <c r="BE654" s="349"/>
      <c r="BF654" s="349"/>
      <c r="BG654" s="349"/>
      <c r="BH654" s="349"/>
      <c r="BI654" s="349"/>
      <c r="BJ654" s="349"/>
      <c r="BK654" s="349"/>
      <c r="BL654" s="349"/>
      <c r="BM654" s="349"/>
      <c r="BN654" s="349"/>
      <c r="BO654" s="349"/>
      <c r="BP654" s="349"/>
      <c r="BQ654" s="349"/>
      <c r="BR654" s="349"/>
      <c r="BS654" s="349"/>
    </row>
    <row r="655" spans="1:71" x14ac:dyDescent="0.3">
      <c r="A655" s="349"/>
      <c r="B655" s="349"/>
      <c r="C655" s="349"/>
      <c r="D655" s="349"/>
      <c r="E655" s="349"/>
      <c r="F655" s="349"/>
      <c r="G655" s="349"/>
      <c r="H655" s="349"/>
      <c r="I655" s="349"/>
      <c r="J655" s="349"/>
      <c r="K655" s="349"/>
      <c r="L655" s="349"/>
      <c r="M655" s="349"/>
      <c r="N655" s="349"/>
      <c r="O655" s="349"/>
      <c r="P655" s="349"/>
      <c r="Q655" s="349"/>
      <c r="R655" s="349"/>
      <c r="S655" s="349"/>
      <c r="T655" s="349"/>
      <c r="U655" s="349"/>
      <c r="V655" s="349"/>
      <c r="W655" s="349"/>
      <c r="X655" s="349"/>
      <c r="Y655" s="349"/>
      <c r="Z655" s="349"/>
      <c r="AA655" s="349"/>
      <c r="AB655" s="349"/>
      <c r="AC655" s="349"/>
      <c r="AD655" s="349"/>
      <c r="AE655" s="349"/>
      <c r="AF655" s="349"/>
      <c r="AG655" s="349"/>
      <c r="AH655" s="349"/>
      <c r="AI655" s="349"/>
      <c r="AJ655" s="349"/>
      <c r="AK655" s="349"/>
      <c r="AL655" s="349"/>
      <c r="AM655" s="349"/>
      <c r="AN655" s="349"/>
      <c r="AO655" s="349"/>
      <c r="AP655" s="349"/>
      <c r="AQ655" s="349"/>
      <c r="AR655" s="349"/>
      <c r="AS655" s="349"/>
      <c r="AT655" s="349"/>
      <c r="AU655" s="349"/>
      <c r="AV655" s="349"/>
      <c r="AW655" s="349"/>
      <c r="AX655" s="349"/>
      <c r="AY655" s="349"/>
      <c r="AZ655" s="349"/>
      <c r="BA655" s="349"/>
      <c r="BB655" s="349"/>
      <c r="BC655" s="349"/>
      <c r="BD655" s="349"/>
      <c r="BE655" s="349"/>
      <c r="BF655" s="349"/>
      <c r="BG655" s="349"/>
      <c r="BH655" s="349"/>
      <c r="BI655" s="349"/>
      <c r="BJ655" s="349"/>
      <c r="BK655" s="349"/>
      <c r="BL655" s="349"/>
      <c r="BM655" s="349"/>
      <c r="BN655" s="349"/>
      <c r="BO655" s="349"/>
      <c r="BP655" s="349"/>
      <c r="BQ655" s="349"/>
      <c r="BR655" s="349"/>
      <c r="BS655" s="349"/>
    </row>
    <row r="656" spans="1:71" x14ac:dyDescent="0.3">
      <c r="A656" s="349"/>
      <c r="B656" s="349"/>
      <c r="C656" s="349"/>
      <c r="D656" s="349"/>
      <c r="E656" s="349"/>
      <c r="F656" s="349"/>
      <c r="G656" s="349"/>
      <c r="H656" s="349"/>
      <c r="I656" s="349"/>
      <c r="J656" s="349"/>
      <c r="K656" s="349"/>
      <c r="L656" s="349"/>
      <c r="M656" s="349"/>
      <c r="N656" s="349"/>
      <c r="O656" s="349"/>
      <c r="P656" s="349"/>
      <c r="Q656" s="349"/>
      <c r="R656" s="349"/>
      <c r="S656" s="349"/>
      <c r="T656" s="349"/>
      <c r="U656" s="349"/>
      <c r="V656" s="349"/>
      <c r="W656" s="349"/>
      <c r="X656" s="349"/>
      <c r="Y656" s="349"/>
      <c r="Z656" s="349"/>
      <c r="AA656" s="349"/>
      <c r="AB656" s="349"/>
      <c r="AC656" s="349"/>
      <c r="AD656" s="349"/>
      <c r="AE656" s="349"/>
      <c r="AF656" s="349"/>
      <c r="AG656" s="349"/>
      <c r="AH656" s="349"/>
      <c r="AI656" s="349"/>
      <c r="AJ656" s="349"/>
      <c r="AK656" s="349"/>
      <c r="AL656" s="349"/>
      <c r="AM656" s="349"/>
      <c r="AN656" s="349"/>
      <c r="AO656" s="349"/>
      <c r="AP656" s="349"/>
      <c r="AQ656" s="349"/>
      <c r="AR656" s="349"/>
      <c r="AS656" s="349"/>
      <c r="AT656" s="349"/>
      <c r="AU656" s="349"/>
      <c r="AV656" s="349"/>
      <c r="AW656" s="349"/>
      <c r="AX656" s="349"/>
      <c r="AY656" s="349"/>
      <c r="AZ656" s="349"/>
      <c r="BA656" s="349"/>
      <c r="BB656" s="349"/>
      <c r="BC656" s="349"/>
      <c r="BD656" s="349"/>
      <c r="BE656" s="349"/>
      <c r="BF656" s="349"/>
      <c r="BG656" s="349"/>
      <c r="BH656" s="349"/>
      <c r="BI656" s="349"/>
      <c r="BJ656" s="349"/>
      <c r="BK656" s="349"/>
      <c r="BL656" s="349"/>
      <c r="BM656" s="349"/>
      <c r="BN656" s="349"/>
      <c r="BO656" s="349"/>
      <c r="BP656" s="349"/>
      <c r="BQ656" s="349"/>
      <c r="BR656" s="349"/>
      <c r="BS656" s="349"/>
    </row>
    <row r="657" spans="1:71" x14ac:dyDescent="0.3">
      <c r="A657" s="349"/>
      <c r="B657" s="349"/>
      <c r="C657" s="349"/>
      <c r="D657" s="349"/>
      <c r="E657" s="349"/>
      <c r="F657" s="349"/>
      <c r="G657" s="349"/>
      <c r="H657" s="349"/>
      <c r="I657" s="349"/>
      <c r="J657" s="349"/>
      <c r="K657" s="349"/>
      <c r="L657" s="349"/>
      <c r="M657" s="349"/>
      <c r="N657" s="349"/>
      <c r="O657" s="349"/>
      <c r="P657" s="349"/>
      <c r="Q657" s="349"/>
      <c r="R657" s="349"/>
      <c r="S657" s="349"/>
      <c r="T657" s="349"/>
      <c r="U657" s="349"/>
      <c r="V657" s="349"/>
      <c r="W657" s="349"/>
      <c r="X657" s="349"/>
      <c r="Y657" s="349"/>
      <c r="Z657" s="349"/>
      <c r="AA657" s="349"/>
      <c r="AB657" s="349"/>
      <c r="AC657" s="349"/>
      <c r="AD657" s="349"/>
      <c r="AE657" s="349"/>
      <c r="AF657" s="349"/>
      <c r="AG657" s="349"/>
      <c r="AH657" s="349"/>
      <c r="AI657" s="349"/>
      <c r="AJ657" s="349"/>
      <c r="AK657" s="349"/>
      <c r="AL657" s="349"/>
      <c r="AM657" s="349"/>
      <c r="AN657" s="349"/>
      <c r="AO657" s="349"/>
      <c r="AP657" s="349"/>
      <c r="AQ657" s="349"/>
      <c r="AR657" s="349"/>
      <c r="AS657" s="349"/>
      <c r="AT657" s="349"/>
      <c r="AU657" s="349"/>
      <c r="AV657" s="349"/>
      <c r="AW657" s="349"/>
      <c r="AX657" s="349"/>
      <c r="AY657" s="349"/>
      <c r="AZ657" s="349"/>
      <c r="BA657" s="349"/>
      <c r="BB657" s="349"/>
      <c r="BC657" s="349"/>
      <c r="BD657" s="349"/>
      <c r="BE657" s="349"/>
      <c r="BF657" s="349"/>
      <c r="BG657" s="349"/>
      <c r="BH657" s="349"/>
      <c r="BI657" s="349"/>
      <c r="BJ657" s="349"/>
      <c r="BK657" s="349"/>
      <c r="BL657" s="349"/>
      <c r="BM657" s="349"/>
      <c r="BN657" s="349"/>
      <c r="BO657" s="349"/>
      <c r="BP657" s="349"/>
      <c r="BQ657" s="349"/>
      <c r="BR657" s="349"/>
      <c r="BS657" s="349"/>
    </row>
    <row r="658" spans="1:71" x14ac:dyDescent="0.3">
      <c r="A658" s="349"/>
      <c r="B658" s="349"/>
      <c r="C658" s="349"/>
      <c r="D658" s="349"/>
      <c r="E658" s="349"/>
      <c r="F658" s="349"/>
      <c r="G658" s="349"/>
      <c r="H658" s="349"/>
      <c r="I658" s="349"/>
      <c r="J658" s="349"/>
      <c r="K658" s="349"/>
      <c r="L658" s="349"/>
      <c r="M658" s="349"/>
      <c r="N658" s="349"/>
      <c r="O658" s="349"/>
      <c r="P658" s="349"/>
      <c r="Q658" s="349"/>
      <c r="R658" s="349"/>
      <c r="S658" s="349"/>
      <c r="T658" s="349"/>
      <c r="U658" s="349"/>
      <c r="V658" s="349"/>
      <c r="W658" s="349"/>
      <c r="X658" s="349"/>
      <c r="Y658" s="349"/>
      <c r="Z658" s="349"/>
      <c r="AA658" s="349"/>
      <c r="AB658" s="349"/>
      <c r="AC658" s="349"/>
      <c r="AD658" s="349"/>
      <c r="AE658" s="349"/>
      <c r="AF658" s="349"/>
      <c r="AG658" s="349"/>
      <c r="AH658" s="349"/>
      <c r="AI658" s="349"/>
      <c r="AJ658" s="349"/>
      <c r="AK658" s="349"/>
      <c r="AL658" s="349"/>
      <c r="AM658" s="349"/>
      <c r="AN658" s="349"/>
      <c r="AO658" s="349"/>
      <c r="AP658" s="349"/>
      <c r="AQ658" s="349"/>
      <c r="AR658" s="349"/>
      <c r="AS658" s="349"/>
      <c r="AT658" s="349"/>
      <c r="AU658" s="349"/>
      <c r="AV658" s="349"/>
      <c r="AW658" s="349"/>
      <c r="AX658" s="349"/>
      <c r="AY658" s="349"/>
      <c r="AZ658" s="349"/>
      <c r="BA658" s="349"/>
      <c r="BB658" s="349"/>
      <c r="BC658" s="349"/>
      <c r="BD658" s="349"/>
      <c r="BE658" s="349"/>
      <c r="BF658" s="349"/>
      <c r="BG658" s="349"/>
      <c r="BH658" s="349"/>
      <c r="BI658" s="349"/>
      <c r="BJ658" s="349"/>
      <c r="BK658" s="349"/>
      <c r="BL658" s="349"/>
      <c r="BM658" s="349"/>
      <c r="BN658" s="349"/>
      <c r="BO658" s="349"/>
      <c r="BP658" s="349"/>
      <c r="BQ658" s="349"/>
      <c r="BR658" s="349"/>
      <c r="BS658" s="349"/>
    </row>
    <row r="659" spans="1:71" x14ac:dyDescent="0.3">
      <c r="A659" s="349"/>
      <c r="B659" s="349"/>
      <c r="C659" s="349"/>
      <c r="D659" s="349"/>
      <c r="E659" s="349"/>
      <c r="F659" s="349"/>
      <c r="G659" s="349"/>
      <c r="H659" s="349"/>
      <c r="I659" s="349"/>
      <c r="J659" s="349"/>
      <c r="K659" s="349"/>
      <c r="L659" s="349"/>
      <c r="M659" s="349"/>
      <c r="N659" s="349"/>
      <c r="O659" s="349"/>
      <c r="P659" s="349"/>
      <c r="Q659" s="349"/>
      <c r="R659" s="349"/>
      <c r="S659" s="349"/>
      <c r="T659" s="349"/>
      <c r="U659" s="349"/>
      <c r="V659" s="349"/>
      <c r="W659" s="349"/>
      <c r="X659" s="349"/>
      <c r="Y659" s="349"/>
      <c r="Z659" s="349"/>
      <c r="AA659" s="349"/>
      <c r="AB659" s="349"/>
      <c r="AC659" s="349"/>
      <c r="AD659" s="349"/>
      <c r="AE659" s="349"/>
      <c r="AF659" s="349"/>
      <c r="AG659" s="349"/>
      <c r="AH659" s="349"/>
      <c r="AI659" s="349"/>
      <c r="AJ659" s="349"/>
      <c r="AK659" s="349"/>
      <c r="AL659" s="349"/>
      <c r="AM659" s="349"/>
      <c r="AN659" s="349"/>
      <c r="AO659" s="349"/>
      <c r="AP659" s="349"/>
      <c r="AQ659" s="349"/>
      <c r="AR659" s="349"/>
      <c r="AS659" s="349"/>
      <c r="AT659" s="349"/>
      <c r="AU659" s="349"/>
      <c r="AV659" s="349"/>
      <c r="AW659" s="349"/>
      <c r="AX659" s="349"/>
      <c r="AY659" s="349"/>
      <c r="AZ659" s="349"/>
      <c r="BA659" s="349"/>
      <c r="BB659" s="349"/>
      <c r="BC659" s="349"/>
      <c r="BD659" s="349"/>
      <c r="BE659" s="349"/>
      <c r="BF659" s="349"/>
      <c r="BG659" s="349"/>
      <c r="BH659" s="349"/>
      <c r="BI659" s="349"/>
      <c r="BJ659" s="349"/>
      <c r="BK659" s="349"/>
      <c r="BL659" s="349"/>
      <c r="BM659" s="349"/>
      <c r="BN659" s="349"/>
      <c r="BO659" s="349"/>
      <c r="BP659" s="349"/>
      <c r="BQ659" s="349"/>
      <c r="BR659" s="349"/>
      <c r="BS659" s="349"/>
    </row>
    <row r="660" spans="1:71" x14ac:dyDescent="0.3">
      <c r="A660" s="349"/>
      <c r="B660" s="349"/>
      <c r="C660" s="349"/>
      <c r="D660" s="349"/>
      <c r="E660" s="349"/>
      <c r="F660" s="349"/>
      <c r="G660" s="349"/>
      <c r="H660" s="349"/>
      <c r="I660" s="349"/>
      <c r="J660" s="349"/>
      <c r="K660" s="349"/>
      <c r="L660" s="349"/>
      <c r="M660" s="349"/>
      <c r="N660" s="349"/>
      <c r="O660" s="349"/>
      <c r="P660" s="349"/>
      <c r="Q660" s="349"/>
      <c r="R660" s="349"/>
      <c r="S660" s="349"/>
      <c r="T660" s="349"/>
      <c r="U660" s="349"/>
      <c r="V660" s="349"/>
      <c r="W660" s="349"/>
      <c r="X660" s="349"/>
      <c r="Y660" s="349"/>
      <c r="Z660" s="349"/>
      <c r="AA660" s="349"/>
      <c r="AB660" s="349"/>
      <c r="AC660" s="349"/>
      <c r="AD660" s="349"/>
      <c r="AE660" s="349"/>
      <c r="AF660" s="349"/>
      <c r="AG660" s="349"/>
      <c r="AH660" s="349"/>
      <c r="AI660" s="349"/>
      <c r="AJ660" s="349"/>
      <c r="AK660" s="349"/>
      <c r="AL660" s="349"/>
      <c r="AM660" s="349"/>
      <c r="AN660" s="349"/>
      <c r="AO660" s="349"/>
      <c r="AP660" s="349"/>
      <c r="AQ660" s="349"/>
      <c r="AR660" s="349"/>
      <c r="AS660" s="349"/>
      <c r="AT660" s="349"/>
      <c r="AU660" s="349"/>
      <c r="AV660" s="349"/>
      <c r="AW660" s="349"/>
      <c r="AX660" s="349"/>
      <c r="AY660" s="349"/>
      <c r="AZ660" s="349"/>
      <c r="BA660" s="349"/>
      <c r="BB660" s="349"/>
      <c r="BC660" s="349"/>
      <c r="BD660" s="349"/>
      <c r="BE660" s="349"/>
      <c r="BF660" s="349"/>
      <c r="BG660" s="349"/>
      <c r="BH660" s="349"/>
      <c r="BI660" s="349"/>
      <c r="BJ660" s="349"/>
      <c r="BK660" s="349"/>
      <c r="BL660" s="349"/>
      <c r="BM660" s="349"/>
      <c r="BN660" s="349"/>
      <c r="BO660" s="349"/>
      <c r="BP660" s="349"/>
      <c r="BQ660" s="349"/>
      <c r="BR660" s="349"/>
      <c r="BS660" s="349"/>
    </row>
    <row r="661" spans="1:71" x14ac:dyDescent="0.3">
      <c r="A661" s="349"/>
      <c r="B661" s="349"/>
      <c r="C661" s="349"/>
      <c r="D661" s="349"/>
      <c r="E661" s="349"/>
      <c r="F661" s="349"/>
      <c r="G661" s="349"/>
      <c r="H661" s="349"/>
      <c r="I661" s="349"/>
      <c r="J661" s="349"/>
      <c r="K661" s="349"/>
      <c r="L661" s="349"/>
      <c r="M661" s="349"/>
      <c r="N661" s="349"/>
      <c r="O661" s="349"/>
      <c r="P661" s="349"/>
      <c r="Q661" s="349"/>
      <c r="R661" s="349"/>
      <c r="S661" s="349"/>
      <c r="T661" s="349"/>
      <c r="U661" s="349"/>
      <c r="V661" s="349"/>
      <c r="W661" s="349"/>
      <c r="X661" s="349"/>
      <c r="Y661" s="349"/>
      <c r="Z661" s="349"/>
      <c r="AA661" s="349"/>
      <c r="AB661" s="349"/>
      <c r="AC661" s="349"/>
      <c r="AD661" s="349"/>
      <c r="AE661" s="349"/>
      <c r="AF661" s="349"/>
      <c r="AG661" s="349"/>
      <c r="AH661" s="349"/>
      <c r="AI661" s="349"/>
      <c r="AJ661" s="349"/>
      <c r="AK661" s="349"/>
      <c r="AL661" s="349"/>
      <c r="AM661" s="349"/>
      <c r="AN661" s="349"/>
      <c r="AO661" s="349"/>
      <c r="AP661" s="349"/>
      <c r="AQ661" s="349"/>
      <c r="AR661" s="349"/>
      <c r="AS661" s="349"/>
      <c r="AT661" s="349"/>
      <c r="AU661" s="349"/>
      <c r="AV661" s="349"/>
      <c r="AW661" s="349"/>
      <c r="AX661" s="349"/>
      <c r="AY661" s="349"/>
      <c r="AZ661" s="349"/>
      <c r="BA661" s="349"/>
      <c r="BB661" s="349"/>
      <c r="BC661" s="349"/>
      <c r="BD661" s="349"/>
      <c r="BE661" s="349"/>
      <c r="BF661" s="349"/>
      <c r="BG661" s="349"/>
      <c r="BH661" s="349"/>
      <c r="BI661" s="349"/>
      <c r="BJ661" s="349"/>
      <c r="BK661" s="349"/>
      <c r="BL661" s="349"/>
      <c r="BM661" s="349"/>
      <c r="BN661" s="349"/>
      <c r="BO661" s="349"/>
      <c r="BP661" s="349"/>
      <c r="BQ661" s="349"/>
      <c r="BR661" s="349"/>
      <c r="BS661" s="349"/>
    </row>
    <row r="662" spans="1:71" x14ac:dyDescent="0.3">
      <c r="A662" s="349"/>
      <c r="B662" s="349"/>
      <c r="C662" s="349"/>
      <c r="D662" s="349"/>
      <c r="E662" s="349"/>
      <c r="F662" s="349"/>
      <c r="G662" s="349"/>
      <c r="H662" s="349"/>
      <c r="I662" s="349"/>
      <c r="J662" s="349"/>
      <c r="K662" s="349"/>
      <c r="L662" s="349"/>
      <c r="M662" s="349"/>
      <c r="N662" s="349"/>
      <c r="O662" s="349"/>
      <c r="P662" s="349"/>
      <c r="Q662" s="349"/>
      <c r="R662" s="349"/>
      <c r="S662" s="349"/>
      <c r="T662" s="349"/>
      <c r="U662" s="349"/>
      <c r="V662" s="349"/>
      <c r="W662" s="349"/>
      <c r="X662" s="349"/>
      <c r="Y662" s="349"/>
      <c r="Z662" s="349"/>
      <c r="AA662" s="349"/>
      <c r="AB662" s="349"/>
      <c r="AC662" s="349"/>
      <c r="AD662" s="349"/>
      <c r="AE662" s="349"/>
      <c r="AF662" s="349"/>
      <c r="AG662" s="349"/>
      <c r="AH662" s="349"/>
      <c r="AI662" s="349"/>
      <c r="AJ662" s="349"/>
      <c r="AK662" s="349"/>
      <c r="AL662" s="349"/>
      <c r="AM662" s="349"/>
      <c r="AN662" s="349"/>
      <c r="AO662" s="349"/>
      <c r="AP662" s="349"/>
      <c r="AQ662" s="349"/>
      <c r="AR662" s="349"/>
      <c r="AS662" s="349"/>
      <c r="AT662" s="349"/>
      <c r="AU662" s="349"/>
      <c r="AV662" s="349"/>
      <c r="AW662" s="349"/>
      <c r="AX662" s="349"/>
      <c r="AY662" s="349"/>
      <c r="AZ662" s="349"/>
      <c r="BA662" s="349"/>
      <c r="BB662" s="349"/>
      <c r="BC662" s="349"/>
      <c r="BD662" s="349"/>
      <c r="BE662" s="349"/>
      <c r="BF662" s="349"/>
      <c r="BG662" s="349"/>
      <c r="BH662" s="349"/>
      <c r="BI662" s="349"/>
      <c r="BJ662" s="349"/>
      <c r="BK662" s="349"/>
      <c r="BL662" s="349"/>
      <c r="BM662" s="349"/>
      <c r="BN662" s="349"/>
      <c r="BO662" s="349"/>
      <c r="BP662" s="349"/>
      <c r="BQ662" s="349"/>
      <c r="BR662" s="349"/>
      <c r="BS662" s="349"/>
    </row>
    <row r="663" spans="1:71" x14ac:dyDescent="0.3">
      <c r="A663" s="349"/>
      <c r="B663" s="349"/>
      <c r="C663" s="349"/>
      <c r="D663" s="349"/>
      <c r="E663" s="349"/>
      <c r="F663" s="349"/>
      <c r="G663" s="349"/>
      <c r="H663" s="349"/>
      <c r="I663" s="349"/>
      <c r="J663" s="349"/>
      <c r="K663" s="349"/>
      <c r="L663" s="349"/>
      <c r="M663" s="349"/>
      <c r="N663" s="349"/>
      <c r="O663" s="349"/>
      <c r="P663" s="349"/>
      <c r="Q663" s="349"/>
      <c r="R663" s="349"/>
      <c r="S663" s="349"/>
      <c r="T663" s="349"/>
      <c r="U663" s="349"/>
      <c r="V663" s="349"/>
      <c r="W663" s="349"/>
      <c r="X663" s="349"/>
      <c r="Y663" s="349"/>
      <c r="Z663" s="349"/>
      <c r="AA663" s="349"/>
      <c r="AB663" s="349"/>
      <c r="AC663" s="349"/>
      <c r="AD663" s="349"/>
      <c r="AE663" s="349"/>
      <c r="AF663" s="349"/>
      <c r="AG663" s="349"/>
      <c r="AH663" s="349"/>
      <c r="AI663" s="349"/>
      <c r="AJ663" s="349"/>
      <c r="AK663" s="349"/>
      <c r="AL663" s="349"/>
      <c r="AM663" s="349"/>
      <c r="AN663" s="349"/>
      <c r="AO663" s="349"/>
      <c r="AP663" s="349"/>
      <c r="AQ663" s="349"/>
      <c r="AR663" s="349"/>
      <c r="AS663" s="349"/>
      <c r="AT663" s="349"/>
      <c r="AU663" s="349"/>
      <c r="AV663" s="349"/>
      <c r="AW663" s="349"/>
      <c r="AX663" s="349"/>
      <c r="AY663" s="349"/>
      <c r="AZ663" s="349"/>
      <c r="BA663" s="349"/>
      <c r="BB663" s="349"/>
      <c r="BC663" s="349"/>
      <c r="BD663" s="349"/>
      <c r="BE663" s="349"/>
      <c r="BF663" s="349"/>
      <c r="BG663" s="349"/>
      <c r="BH663" s="349"/>
      <c r="BI663" s="349"/>
      <c r="BJ663" s="349"/>
      <c r="BK663" s="349"/>
      <c r="BL663" s="349"/>
      <c r="BM663" s="349"/>
      <c r="BN663" s="349"/>
      <c r="BO663" s="349"/>
      <c r="BP663" s="349"/>
      <c r="BQ663" s="349"/>
      <c r="BR663" s="349"/>
      <c r="BS663" s="349"/>
    </row>
    <row r="664" spans="1:71" x14ac:dyDescent="0.3">
      <c r="A664" s="349"/>
      <c r="B664" s="349"/>
      <c r="C664" s="349"/>
      <c r="D664" s="349"/>
      <c r="E664" s="349"/>
      <c r="F664" s="349"/>
      <c r="G664" s="349"/>
      <c r="H664" s="349"/>
      <c r="I664" s="349"/>
      <c r="J664" s="349"/>
      <c r="K664" s="349"/>
      <c r="L664" s="349"/>
      <c r="M664" s="349"/>
      <c r="N664" s="349"/>
      <c r="O664" s="349"/>
      <c r="P664" s="349"/>
      <c r="Q664" s="349"/>
      <c r="R664" s="349"/>
      <c r="S664" s="349"/>
      <c r="T664" s="349"/>
      <c r="U664" s="349"/>
      <c r="V664" s="349"/>
      <c r="W664" s="349"/>
      <c r="X664" s="349"/>
      <c r="Y664" s="349"/>
      <c r="Z664" s="349"/>
      <c r="AA664" s="349"/>
      <c r="AB664" s="349"/>
      <c r="AC664" s="349"/>
      <c r="AD664" s="349"/>
      <c r="AE664" s="349"/>
      <c r="AF664" s="349"/>
      <c r="AG664" s="349"/>
      <c r="AH664" s="349"/>
      <c r="AI664" s="349"/>
      <c r="AJ664" s="349"/>
      <c r="AK664" s="349"/>
      <c r="AL664" s="349"/>
      <c r="AM664" s="349"/>
      <c r="AN664" s="349"/>
      <c r="AO664" s="349"/>
      <c r="AP664" s="349"/>
      <c r="AQ664" s="349"/>
      <c r="AR664" s="349"/>
      <c r="AS664" s="349"/>
      <c r="AT664" s="349"/>
      <c r="AU664" s="349"/>
      <c r="AV664" s="349"/>
      <c r="AW664" s="349"/>
      <c r="AX664" s="349"/>
      <c r="AY664" s="349"/>
      <c r="AZ664" s="349"/>
      <c r="BA664" s="349"/>
      <c r="BB664" s="349"/>
      <c r="BC664" s="349"/>
      <c r="BD664" s="349"/>
      <c r="BE664" s="349"/>
      <c r="BF664" s="349"/>
      <c r="BG664" s="349"/>
      <c r="BH664" s="349"/>
      <c r="BI664" s="349"/>
      <c r="BJ664" s="349"/>
      <c r="BK664" s="349"/>
      <c r="BL664" s="349"/>
      <c r="BM664" s="349"/>
      <c r="BN664" s="349"/>
      <c r="BO664" s="349"/>
      <c r="BP664" s="349"/>
      <c r="BQ664" s="349"/>
      <c r="BR664" s="349"/>
      <c r="BS664" s="349"/>
    </row>
    <row r="665" spans="1:71" x14ac:dyDescent="0.3">
      <c r="A665" s="349"/>
      <c r="B665" s="349"/>
      <c r="C665" s="349"/>
      <c r="D665" s="349"/>
      <c r="E665" s="349"/>
      <c r="F665" s="349"/>
      <c r="G665" s="349"/>
      <c r="H665" s="349"/>
      <c r="I665" s="349"/>
      <c r="J665" s="349"/>
      <c r="K665" s="349"/>
      <c r="L665" s="349"/>
      <c r="M665" s="349"/>
      <c r="N665" s="349"/>
      <c r="O665" s="349"/>
      <c r="P665" s="349"/>
      <c r="Q665" s="349"/>
      <c r="R665" s="349"/>
      <c r="S665" s="349"/>
      <c r="T665" s="349"/>
      <c r="U665" s="349"/>
      <c r="V665" s="349"/>
      <c r="W665" s="349"/>
      <c r="X665" s="349"/>
      <c r="Y665" s="349"/>
      <c r="Z665" s="349"/>
      <c r="AA665" s="349"/>
      <c r="AB665" s="349"/>
      <c r="AC665" s="349"/>
      <c r="AD665" s="349"/>
      <c r="AE665" s="349"/>
      <c r="AF665" s="349"/>
      <c r="AG665" s="349"/>
      <c r="AH665" s="349"/>
      <c r="AI665" s="349"/>
      <c r="AJ665" s="349"/>
      <c r="AK665" s="349"/>
      <c r="AL665" s="349"/>
      <c r="AM665" s="349"/>
      <c r="AN665" s="349"/>
      <c r="AO665" s="349"/>
      <c r="AP665" s="349"/>
      <c r="AQ665" s="349"/>
      <c r="AR665" s="349"/>
      <c r="AS665" s="349"/>
      <c r="AT665" s="349"/>
      <c r="AU665" s="349"/>
      <c r="AV665" s="349"/>
      <c r="AW665" s="349"/>
      <c r="AX665" s="349"/>
      <c r="AY665" s="349"/>
      <c r="AZ665" s="349"/>
      <c r="BA665" s="349"/>
      <c r="BB665" s="349"/>
      <c r="BC665" s="349"/>
      <c r="BD665" s="349"/>
      <c r="BE665" s="349"/>
      <c r="BF665" s="349"/>
      <c r="BG665" s="349"/>
      <c r="BH665" s="349"/>
      <c r="BI665" s="349"/>
      <c r="BJ665" s="349"/>
      <c r="BK665" s="349"/>
      <c r="BL665" s="349"/>
      <c r="BM665" s="349"/>
      <c r="BN665" s="349"/>
      <c r="BO665" s="349"/>
      <c r="BP665" s="349"/>
      <c r="BQ665" s="349"/>
      <c r="BR665" s="349"/>
      <c r="BS665" s="349"/>
    </row>
    <row r="666" spans="1:71" x14ac:dyDescent="0.3">
      <c r="A666" s="349"/>
      <c r="B666" s="349"/>
      <c r="C666" s="349"/>
      <c r="D666" s="349"/>
      <c r="E666" s="349"/>
      <c r="F666" s="349"/>
      <c r="G666" s="349"/>
      <c r="H666" s="349"/>
      <c r="I666" s="349"/>
      <c r="J666" s="349"/>
      <c r="K666" s="349"/>
      <c r="L666" s="349"/>
      <c r="M666" s="349"/>
      <c r="N666" s="349"/>
      <c r="O666" s="349"/>
      <c r="P666" s="349"/>
      <c r="Q666" s="349"/>
      <c r="R666" s="349"/>
      <c r="S666" s="349"/>
      <c r="T666" s="349"/>
      <c r="U666" s="349"/>
      <c r="V666" s="349"/>
      <c r="W666" s="349"/>
      <c r="X666" s="349"/>
      <c r="Y666" s="349"/>
      <c r="Z666" s="349"/>
      <c r="AA666" s="349"/>
      <c r="AB666" s="349"/>
      <c r="AC666" s="349"/>
      <c r="AD666" s="349"/>
      <c r="AE666" s="349"/>
      <c r="AF666" s="349"/>
      <c r="AG666" s="349"/>
      <c r="AH666" s="349"/>
      <c r="AI666" s="349"/>
      <c r="AJ666" s="349"/>
      <c r="AK666" s="349"/>
      <c r="AL666" s="349"/>
      <c r="AM666" s="349"/>
      <c r="AN666" s="349"/>
      <c r="AO666" s="349"/>
      <c r="AP666" s="349"/>
      <c r="AQ666" s="349"/>
      <c r="AR666" s="349"/>
      <c r="AS666" s="349"/>
      <c r="AT666" s="349"/>
      <c r="AU666" s="349"/>
      <c r="AV666" s="349"/>
      <c r="AW666" s="349"/>
      <c r="AX666" s="349"/>
      <c r="AY666" s="349"/>
      <c r="AZ666" s="349"/>
      <c r="BA666" s="349"/>
      <c r="BB666" s="349"/>
      <c r="BC666" s="349"/>
      <c r="BD666" s="349"/>
      <c r="BE666" s="349"/>
      <c r="BF666" s="349"/>
      <c r="BG666" s="349"/>
      <c r="BH666" s="349"/>
      <c r="BI666" s="349"/>
      <c r="BJ666" s="349"/>
      <c r="BK666" s="349"/>
      <c r="BL666" s="349"/>
      <c r="BM666" s="349"/>
      <c r="BN666" s="349"/>
      <c r="BO666" s="349"/>
      <c r="BP666" s="349"/>
      <c r="BQ666" s="349"/>
      <c r="BR666" s="349"/>
      <c r="BS666" s="349"/>
    </row>
    <row r="667" spans="1:71" x14ac:dyDescent="0.3">
      <c r="A667" s="349"/>
      <c r="B667" s="349"/>
      <c r="C667" s="349"/>
      <c r="D667" s="349"/>
      <c r="E667" s="349"/>
      <c r="F667" s="349"/>
      <c r="G667" s="349"/>
      <c r="H667" s="349"/>
      <c r="I667" s="349"/>
      <c r="J667" s="349"/>
      <c r="K667" s="349"/>
      <c r="L667" s="349"/>
      <c r="M667" s="349"/>
      <c r="N667" s="349"/>
      <c r="O667" s="349"/>
      <c r="P667" s="349"/>
      <c r="Q667" s="349"/>
      <c r="R667" s="349"/>
      <c r="S667" s="349"/>
      <c r="T667" s="349"/>
      <c r="U667" s="349"/>
      <c r="V667" s="349"/>
      <c r="W667" s="349"/>
      <c r="X667" s="349"/>
      <c r="Y667" s="349"/>
      <c r="Z667" s="349"/>
      <c r="AA667" s="349"/>
      <c r="AB667" s="349"/>
      <c r="AC667" s="349"/>
      <c r="AD667" s="349"/>
      <c r="AE667" s="349"/>
      <c r="AF667" s="349"/>
      <c r="AG667" s="349"/>
      <c r="AH667" s="349"/>
      <c r="AI667" s="349"/>
      <c r="AJ667" s="349"/>
      <c r="AK667" s="349"/>
      <c r="AL667" s="349"/>
      <c r="AM667" s="349"/>
      <c r="AN667" s="349"/>
      <c r="AO667" s="349"/>
      <c r="AP667" s="349"/>
      <c r="AQ667" s="349"/>
      <c r="AR667" s="349"/>
      <c r="AS667" s="349"/>
      <c r="AT667" s="349"/>
      <c r="AU667" s="349"/>
      <c r="AV667" s="349"/>
      <c r="AW667" s="349"/>
      <c r="AX667" s="349"/>
      <c r="AY667" s="349"/>
      <c r="AZ667" s="349"/>
      <c r="BA667" s="349"/>
      <c r="BB667" s="349"/>
      <c r="BC667" s="349"/>
      <c r="BD667" s="349"/>
      <c r="BE667" s="349"/>
      <c r="BF667" s="349"/>
      <c r="BG667" s="349"/>
      <c r="BH667" s="349"/>
      <c r="BI667" s="349"/>
      <c r="BJ667" s="349"/>
      <c r="BK667" s="349"/>
      <c r="BL667" s="349"/>
      <c r="BM667" s="349"/>
      <c r="BN667" s="349"/>
      <c r="BO667" s="349"/>
      <c r="BP667" s="349"/>
      <c r="BQ667" s="349"/>
      <c r="BR667" s="349"/>
      <c r="BS667" s="349"/>
    </row>
    <row r="668" spans="1:71" x14ac:dyDescent="0.3">
      <c r="A668" s="349"/>
      <c r="B668" s="349"/>
      <c r="C668" s="349"/>
      <c r="D668" s="349"/>
      <c r="E668" s="349"/>
      <c r="F668" s="349"/>
      <c r="G668" s="349"/>
      <c r="H668" s="349"/>
      <c r="I668" s="349"/>
      <c r="J668" s="349"/>
      <c r="K668" s="349"/>
      <c r="L668" s="349"/>
      <c r="M668" s="349"/>
      <c r="N668" s="349"/>
      <c r="O668" s="349"/>
      <c r="P668" s="349"/>
      <c r="Q668" s="349"/>
      <c r="R668" s="349"/>
      <c r="S668" s="349"/>
      <c r="T668" s="349"/>
      <c r="U668" s="349"/>
      <c r="V668" s="349"/>
      <c r="W668" s="349"/>
      <c r="X668" s="349"/>
      <c r="Y668" s="349"/>
      <c r="Z668" s="349"/>
      <c r="AA668" s="349"/>
      <c r="AB668" s="349"/>
      <c r="AC668" s="349"/>
      <c r="AD668" s="349"/>
      <c r="AE668" s="349"/>
      <c r="AF668" s="349"/>
      <c r="AG668" s="349"/>
      <c r="AH668" s="349"/>
      <c r="AI668" s="349"/>
      <c r="AJ668" s="349"/>
      <c r="AK668" s="349"/>
      <c r="AL668" s="349"/>
      <c r="AM668" s="349"/>
      <c r="AN668" s="349"/>
      <c r="AO668" s="349"/>
      <c r="AP668" s="349"/>
      <c r="AQ668" s="349"/>
      <c r="AR668" s="349"/>
      <c r="AS668" s="349"/>
      <c r="AT668" s="349"/>
      <c r="AU668" s="349"/>
      <c r="AV668" s="349"/>
      <c r="AW668" s="349"/>
      <c r="AX668" s="349"/>
      <c r="AY668" s="349"/>
      <c r="AZ668" s="349"/>
      <c r="BA668" s="349"/>
      <c r="BB668" s="349"/>
      <c r="BC668" s="349"/>
      <c r="BD668" s="349"/>
      <c r="BE668" s="349"/>
      <c r="BF668" s="349"/>
      <c r="BG668" s="349"/>
      <c r="BH668" s="349"/>
      <c r="BI668" s="349"/>
      <c r="BJ668" s="349"/>
      <c r="BK668" s="349"/>
      <c r="BL668" s="349"/>
      <c r="BM668" s="349"/>
      <c r="BN668" s="349"/>
      <c r="BO668" s="349"/>
      <c r="BP668" s="349"/>
      <c r="BQ668" s="349"/>
      <c r="BR668" s="349"/>
      <c r="BS668" s="349"/>
    </row>
    <row r="669" spans="1:71" x14ac:dyDescent="0.3">
      <c r="A669" s="349"/>
      <c r="B669" s="349"/>
      <c r="C669" s="349"/>
      <c r="D669" s="349"/>
      <c r="E669" s="349"/>
      <c r="F669" s="349"/>
      <c r="G669" s="349"/>
      <c r="H669" s="349"/>
      <c r="I669" s="349"/>
      <c r="J669" s="349"/>
      <c r="K669" s="349"/>
      <c r="L669" s="349"/>
      <c r="M669" s="349"/>
      <c r="N669" s="349"/>
      <c r="O669" s="349"/>
      <c r="P669" s="349"/>
      <c r="Q669" s="349"/>
      <c r="R669" s="349"/>
      <c r="S669" s="349"/>
      <c r="T669" s="349"/>
      <c r="U669" s="349"/>
      <c r="V669" s="349"/>
      <c r="W669" s="349"/>
      <c r="X669" s="349"/>
      <c r="Y669" s="349"/>
      <c r="Z669" s="349"/>
      <c r="AA669" s="349"/>
      <c r="AB669" s="349"/>
      <c r="AC669" s="349"/>
      <c r="AD669" s="349"/>
      <c r="AE669" s="349"/>
      <c r="AF669" s="349"/>
      <c r="AG669" s="349"/>
      <c r="AH669" s="349"/>
      <c r="AI669" s="349"/>
      <c r="AJ669" s="349"/>
      <c r="AK669" s="349"/>
      <c r="AL669" s="349"/>
      <c r="AM669" s="349"/>
      <c r="AN669" s="349"/>
      <c r="AO669" s="349"/>
      <c r="AP669" s="349"/>
      <c r="AQ669" s="349"/>
      <c r="AR669" s="349"/>
      <c r="AS669" s="349"/>
      <c r="AT669" s="349"/>
      <c r="AU669" s="349"/>
      <c r="AV669" s="349"/>
      <c r="AW669" s="349"/>
      <c r="AX669" s="349"/>
      <c r="AY669" s="349"/>
      <c r="AZ669" s="349"/>
      <c r="BA669" s="349"/>
      <c r="BB669" s="349"/>
      <c r="BC669" s="349"/>
      <c r="BD669" s="349"/>
      <c r="BE669" s="349"/>
      <c r="BF669" s="349"/>
      <c r="BG669" s="349"/>
      <c r="BH669" s="349"/>
      <c r="BI669" s="349"/>
      <c r="BJ669" s="349"/>
      <c r="BK669" s="349"/>
      <c r="BL669" s="349"/>
      <c r="BM669" s="349"/>
      <c r="BN669" s="349"/>
      <c r="BO669" s="349"/>
      <c r="BP669" s="349"/>
      <c r="BQ669" s="349"/>
      <c r="BR669" s="349"/>
      <c r="BS669" s="349"/>
    </row>
    <row r="670" spans="1:71" x14ac:dyDescent="0.3">
      <c r="A670" s="349"/>
      <c r="B670" s="349"/>
      <c r="C670" s="349"/>
      <c r="D670" s="349"/>
      <c r="E670" s="349"/>
      <c r="F670" s="349"/>
      <c r="G670" s="349"/>
      <c r="H670" s="349"/>
      <c r="I670" s="349"/>
      <c r="J670" s="349"/>
      <c r="K670" s="349"/>
      <c r="L670" s="349"/>
      <c r="M670" s="349"/>
      <c r="N670" s="349"/>
      <c r="O670" s="349"/>
      <c r="P670" s="349"/>
      <c r="Q670" s="349"/>
      <c r="R670" s="349"/>
      <c r="S670" s="349"/>
      <c r="T670" s="349"/>
      <c r="U670" s="349"/>
      <c r="V670" s="349"/>
      <c r="W670" s="349"/>
      <c r="X670" s="349"/>
      <c r="Y670" s="349"/>
      <c r="Z670" s="349"/>
      <c r="AA670" s="349"/>
      <c r="AB670" s="349"/>
      <c r="AC670" s="349"/>
      <c r="AD670" s="349"/>
      <c r="AE670" s="349"/>
      <c r="AF670" s="349"/>
      <c r="AG670" s="349"/>
      <c r="AH670" s="349"/>
      <c r="AI670" s="349"/>
      <c r="AJ670" s="349"/>
      <c r="AK670" s="349"/>
      <c r="AL670" s="349"/>
      <c r="AM670" s="349"/>
      <c r="AN670" s="349"/>
      <c r="AO670" s="349"/>
      <c r="AP670" s="349"/>
      <c r="AQ670" s="349"/>
      <c r="AR670" s="349"/>
      <c r="AS670" s="349"/>
      <c r="AT670" s="349"/>
      <c r="AU670" s="349"/>
      <c r="AV670" s="349"/>
      <c r="AW670" s="349"/>
      <c r="AX670" s="349"/>
      <c r="AY670" s="349"/>
      <c r="AZ670" s="349"/>
      <c r="BA670" s="349"/>
      <c r="BB670" s="349"/>
      <c r="BC670" s="349"/>
      <c r="BD670" s="349"/>
      <c r="BE670" s="349"/>
      <c r="BF670" s="349"/>
      <c r="BG670" s="349"/>
      <c r="BH670" s="349"/>
      <c r="BI670" s="349"/>
      <c r="BJ670" s="349"/>
      <c r="BK670" s="349"/>
      <c r="BL670" s="349"/>
      <c r="BM670" s="349"/>
      <c r="BN670" s="349"/>
      <c r="BO670" s="349"/>
      <c r="BP670" s="349"/>
      <c r="BQ670" s="349"/>
      <c r="BR670" s="349"/>
      <c r="BS670" s="349"/>
    </row>
    <row r="671" spans="1:71" x14ac:dyDescent="0.3">
      <c r="A671" s="349"/>
      <c r="B671" s="349"/>
      <c r="C671" s="349"/>
      <c r="D671" s="349"/>
      <c r="E671" s="349"/>
      <c r="F671" s="349"/>
      <c r="G671" s="349"/>
      <c r="H671" s="349"/>
      <c r="I671" s="349"/>
      <c r="J671" s="349"/>
      <c r="K671" s="349"/>
      <c r="L671" s="349"/>
      <c r="M671" s="349"/>
      <c r="N671" s="349"/>
      <c r="O671" s="349"/>
      <c r="P671" s="349"/>
      <c r="Q671" s="349"/>
      <c r="R671" s="349"/>
      <c r="S671" s="349"/>
      <c r="T671" s="349"/>
      <c r="U671" s="349"/>
      <c r="V671" s="349"/>
      <c r="W671" s="349"/>
      <c r="X671" s="349"/>
      <c r="Y671" s="349"/>
      <c r="Z671" s="349"/>
      <c r="AA671" s="349"/>
      <c r="AB671" s="349"/>
      <c r="AC671" s="349"/>
      <c r="AD671" s="349"/>
      <c r="AE671" s="349"/>
      <c r="AF671" s="349"/>
      <c r="AG671" s="349"/>
      <c r="AH671" s="349"/>
      <c r="AI671" s="349"/>
      <c r="AJ671" s="349"/>
      <c r="AK671" s="349"/>
      <c r="AL671" s="349"/>
      <c r="AM671" s="349"/>
      <c r="AN671" s="349"/>
      <c r="AO671" s="349"/>
      <c r="AP671" s="349"/>
      <c r="AQ671" s="349"/>
      <c r="AR671" s="349"/>
      <c r="AS671" s="349"/>
      <c r="AT671" s="349"/>
      <c r="AU671" s="349"/>
      <c r="AV671" s="349"/>
      <c r="AW671" s="349"/>
      <c r="AX671" s="349"/>
      <c r="AY671" s="349"/>
      <c r="AZ671" s="349"/>
      <c r="BA671" s="349"/>
      <c r="BB671" s="349"/>
      <c r="BC671" s="349"/>
      <c r="BD671" s="349"/>
      <c r="BE671" s="349"/>
      <c r="BF671" s="349"/>
      <c r="BG671" s="349"/>
      <c r="BH671" s="349"/>
      <c r="BI671" s="349"/>
      <c r="BJ671" s="349"/>
      <c r="BK671" s="349"/>
      <c r="BL671" s="349"/>
      <c r="BM671" s="349"/>
      <c r="BN671" s="349"/>
      <c r="BO671" s="349"/>
      <c r="BP671" s="349"/>
      <c r="BQ671" s="349"/>
      <c r="BR671" s="349"/>
      <c r="BS671" s="349"/>
    </row>
    <row r="672" spans="1:71" x14ac:dyDescent="0.3">
      <c r="A672" s="349"/>
      <c r="B672" s="349"/>
      <c r="C672" s="349"/>
      <c r="D672" s="349"/>
      <c r="E672" s="349"/>
      <c r="F672" s="349"/>
      <c r="G672" s="349"/>
      <c r="H672" s="349"/>
      <c r="I672" s="349"/>
      <c r="J672" s="349"/>
      <c r="K672" s="349"/>
      <c r="L672" s="349"/>
      <c r="M672" s="349"/>
      <c r="N672" s="349"/>
      <c r="O672" s="349"/>
      <c r="P672" s="349"/>
      <c r="Q672" s="349"/>
      <c r="R672" s="349"/>
      <c r="S672" s="349"/>
      <c r="T672" s="349"/>
      <c r="U672" s="349"/>
      <c r="V672" s="349"/>
      <c r="W672" s="349"/>
      <c r="X672" s="349"/>
      <c r="Y672" s="349"/>
      <c r="Z672" s="349"/>
      <c r="AA672" s="349"/>
      <c r="AB672" s="349"/>
      <c r="AC672" s="349"/>
      <c r="AD672" s="349"/>
      <c r="AE672" s="349"/>
      <c r="AF672" s="349"/>
      <c r="AG672" s="349"/>
      <c r="AH672" s="349"/>
      <c r="AI672" s="349"/>
      <c r="AJ672" s="349"/>
      <c r="AK672" s="349"/>
      <c r="AL672" s="349"/>
      <c r="AM672" s="349"/>
      <c r="AN672" s="349"/>
      <c r="AO672" s="349"/>
      <c r="AP672" s="349"/>
      <c r="AQ672" s="349"/>
      <c r="AR672" s="349"/>
      <c r="AS672" s="349"/>
      <c r="AT672" s="349"/>
      <c r="AU672" s="349"/>
      <c r="AV672" s="349"/>
      <c r="AW672" s="349"/>
      <c r="AX672" s="349"/>
      <c r="AY672" s="349"/>
      <c r="AZ672" s="349"/>
      <c r="BA672" s="349"/>
      <c r="BB672" s="349"/>
      <c r="BC672" s="349"/>
      <c r="BD672" s="349"/>
      <c r="BE672" s="349"/>
      <c r="BF672" s="349"/>
      <c r="BG672" s="349"/>
      <c r="BH672" s="349"/>
      <c r="BI672" s="349"/>
      <c r="BJ672" s="349"/>
      <c r="BK672" s="349"/>
      <c r="BL672" s="349"/>
      <c r="BM672" s="349"/>
      <c r="BN672" s="349"/>
      <c r="BO672" s="349"/>
      <c r="BP672" s="349"/>
      <c r="BQ672" s="349"/>
      <c r="BR672" s="349"/>
      <c r="BS672" s="349"/>
    </row>
    <row r="673" spans="1:71" x14ac:dyDescent="0.3">
      <c r="A673" s="349"/>
      <c r="B673" s="349"/>
      <c r="C673" s="349"/>
      <c r="D673" s="349"/>
      <c r="E673" s="349"/>
      <c r="F673" s="349"/>
      <c r="G673" s="349"/>
      <c r="H673" s="349"/>
      <c r="I673" s="349"/>
      <c r="J673" s="349"/>
      <c r="K673" s="349"/>
      <c r="L673" s="349"/>
      <c r="M673" s="349"/>
      <c r="N673" s="349"/>
      <c r="O673" s="349"/>
      <c r="P673" s="349"/>
      <c r="Q673" s="349"/>
      <c r="R673" s="349"/>
      <c r="S673" s="349"/>
      <c r="T673" s="349"/>
      <c r="U673" s="349"/>
      <c r="V673" s="349"/>
      <c r="W673" s="349"/>
      <c r="X673" s="349"/>
      <c r="Y673" s="349"/>
      <c r="Z673" s="349"/>
      <c r="AA673" s="349"/>
      <c r="AB673" s="349"/>
      <c r="AC673" s="349"/>
      <c r="AD673" s="349"/>
      <c r="AE673" s="349"/>
      <c r="AF673" s="349"/>
      <c r="AG673" s="349"/>
      <c r="AH673" s="349"/>
      <c r="AI673" s="349"/>
      <c r="AJ673" s="349"/>
      <c r="AK673" s="349"/>
      <c r="AL673" s="349"/>
      <c r="AM673" s="349"/>
      <c r="AN673" s="349"/>
      <c r="AO673" s="349"/>
      <c r="AP673" s="349"/>
      <c r="AQ673" s="349"/>
      <c r="AR673" s="349"/>
      <c r="AS673" s="349"/>
      <c r="AT673" s="349"/>
      <c r="AU673" s="349"/>
      <c r="AV673" s="349"/>
      <c r="AW673" s="349"/>
      <c r="AX673" s="349"/>
      <c r="AY673" s="349"/>
      <c r="AZ673" s="349"/>
      <c r="BA673" s="349"/>
      <c r="BB673" s="349"/>
      <c r="BC673" s="349"/>
      <c r="BD673" s="349"/>
      <c r="BE673" s="349"/>
      <c r="BF673" s="349"/>
      <c r="BG673" s="349"/>
      <c r="BH673" s="349"/>
      <c r="BI673" s="349"/>
      <c r="BJ673" s="349"/>
      <c r="BK673" s="349"/>
      <c r="BL673" s="349"/>
      <c r="BM673" s="349"/>
      <c r="BN673" s="349"/>
      <c r="BO673" s="349"/>
      <c r="BP673" s="349"/>
      <c r="BQ673" s="349"/>
      <c r="BR673" s="349"/>
      <c r="BS673" s="349"/>
    </row>
    <row r="674" spans="1:71" x14ac:dyDescent="0.3">
      <c r="A674" s="349"/>
      <c r="B674" s="349"/>
      <c r="C674" s="349"/>
      <c r="D674" s="349"/>
      <c r="E674" s="349"/>
      <c r="F674" s="349"/>
      <c r="G674" s="349"/>
      <c r="H674" s="349"/>
      <c r="I674" s="349"/>
      <c r="J674" s="349"/>
      <c r="K674" s="349"/>
      <c r="L674" s="349"/>
      <c r="M674" s="349"/>
      <c r="N674" s="349"/>
      <c r="O674" s="349"/>
      <c r="P674" s="349"/>
      <c r="Q674" s="349"/>
      <c r="R674" s="349"/>
      <c r="S674" s="349"/>
      <c r="T674" s="349"/>
      <c r="U674" s="349"/>
      <c r="V674" s="349"/>
      <c r="W674" s="349"/>
      <c r="X674" s="349"/>
      <c r="Y674" s="349"/>
      <c r="Z674" s="349"/>
      <c r="AA674" s="349"/>
      <c r="AB674" s="349"/>
      <c r="AC674" s="349"/>
      <c r="AD674" s="349"/>
      <c r="AE674" s="349"/>
      <c r="AF674" s="349"/>
      <c r="AG674" s="349"/>
      <c r="AH674" s="349"/>
      <c r="AI674" s="349"/>
      <c r="AJ674" s="349"/>
      <c r="AK674" s="349"/>
      <c r="AL674" s="349"/>
      <c r="AM674" s="349"/>
      <c r="AN674" s="349"/>
      <c r="AO674" s="349"/>
      <c r="AP674" s="349"/>
      <c r="AQ674" s="349"/>
      <c r="AR674" s="349"/>
      <c r="AS674" s="349"/>
      <c r="AT674" s="349"/>
      <c r="AU674" s="349"/>
      <c r="AV674" s="349"/>
      <c r="AW674" s="349"/>
      <c r="AX674" s="349"/>
      <c r="AY674" s="349"/>
      <c r="AZ674" s="349"/>
      <c r="BA674" s="349"/>
      <c r="BB674" s="349"/>
      <c r="BC674" s="349"/>
      <c r="BD674" s="349"/>
      <c r="BE674" s="349"/>
      <c r="BF674" s="349"/>
      <c r="BG674" s="349"/>
      <c r="BH674" s="349"/>
      <c r="BI674" s="349"/>
      <c r="BJ674" s="349"/>
      <c r="BK674" s="349"/>
      <c r="BL674" s="349"/>
      <c r="BM674" s="349"/>
      <c r="BN674" s="349"/>
      <c r="BO674" s="349"/>
      <c r="BP674" s="349"/>
      <c r="BQ674" s="349"/>
      <c r="BR674" s="349"/>
      <c r="BS674" s="349"/>
    </row>
    <row r="675" spans="1:71" x14ac:dyDescent="0.3">
      <c r="A675" s="349"/>
      <c r="B675" s="349"/>
      <c r="C675" s="349"/>
      <c r="D675" s="349"/>
      <c r="E675" s="349"/>
      <c r="F675" s="349"/>
      <c r="G675" s="349"/>
      <c r="H675" s="349"/>
      <c r="I675" s="349"/>
      <c r="J675" s="349"/>
      <c r="K675" s="349"/>
      <c r="L675" s="349"/>
      <c r="M675" s="349"/>
      <c r="N675" s="349"/>
      <c r="O675" s="349"/>
      <c r="P675" s="349"/>
      <c r="Q675" s="349"/>
      <c r="R675" s="349"/>
      <c r="S675" s="349"/>
      <c r="T675" s="349"/>
      <c r="U675" s="349"/>
      <c r="V675" s="349"/>
      <c r="W675" s="349"/>
      <c r="X675" s="349"/>
      <c r="Y675" s="349"/>
      <c r="Z675" s="349"/>
      <c r="AA675" s="349"/>
      <c r="AB675" s="349"/>
      <c r="AC675" s="349"/>
      <c r="AD675" s="349"/>
      <c r="AE675" s="349"/>
      <c r="AF675" s="349"/>
      <c r="AG675" s="349"/>
      <c r="AH675" s="349"/>
      <c r="AI675" s="349"/>
      <c r="AJ675" s="349"/>
      <c r="AK675" s="349"/>
      <c r="AL675" s="349"/>
      <c r="AM675" s="349"/>
      <c r="AN675" s="349"/>
      <c r="AO675" s="349"/>
      <c r="AP675" s="349"/>
      <c r="AQ675" s="349"/>
      <c r="AR675" s="349"/>
      <c r="AS675" s="349"/>
      <c r="AT675" s="349"/>
      <c r="AU675" s="349"/>
      <c r="AV675" s="349"/>
      <c r="AW675" s="349"/>
      <c r="AX675" s="349"/>
      <c r="AY675" s="349"/>
      <c r="AZ675" s="349"/>
      <c r="BA675" s="349"/>
      <c r="BB675" s="349"/>
      <c r="BC675" s="349"/>
      <c r="BD675" s="349"/>
      <c r="BE675" s="349"/>
      <c r="BF675" s="349"/>
      <c r="BG675" s="349"/>
      <c r="BH675" s="349"/>
      <c r="BI675" s="349"/>
      <c r="BJ675" s="349"/>
      <c r="BK675" s="349"/>
      <c r="BL675" s="349"/>
      <c r="BM675" s="349"/>
      <c r="BN675" s="349"/>
      <c r="BO675" s="349"/>
      <c r="BP675" s="349"/>
      <c r="BQ675" s="349"/>
      <c r="BR675" s="349"/>
      <c r="BS675" s="349"/>
    </row>
    <row r="676" spans="1:71" x14ac:dyDescent="0.3">
      <c r="A676" s="349"/>
      <c r="B676" s="349"/>
      <c r="C676" s="349"/>
      <c r="D676" s="349"/>
      <c r="E676" s="349"/>
      <c r="F676" s="349"/>
      <c r="G676" s="349"/>
      <c r="H676" s="349"/>
      <c r="I676" s="349"/>
      <c r="J676" s="349"/>
      <c r="K676" s="349"/>
      <c r="L676" s="349"/>
      <c r="M676" s="349"/>
      <c r="N676" s="349"/>
      <c r="O676" s="349"/>
      <c r="P676" s="349"/>
      <c r="Q676" s="349"/>
      <c r="R676" s="349"/>
      <c r="S676" s="349"/>
      <c r="T676" s="349"/>
      <c r="U676" s="349"/>
      <c r="V676" s="349"/>
      <c r="W676" s="349"/>
      <c r="X676" s="349"/>
      <c r="Y676" s="349"/>
      <c r="Z676" s="349"/>
      <c r="AA676" s="349"/>
      <c r="AB676" s="349"/>
      <c r="AC676" s="349"/>
      <c r="AD676" s="349"/>
      <c r="AE676" s="349"/>
      <c r="AF676" s="349"/>
      <c r="AG676" s="349"/>
      <c r="AH676" s="349"/>
      <c r="AI676" s="349"/>
      <c r="AJ676" s="349"/>
      <c r="AK676" s="349"/>
      <c r="AL676" s="349"/>
      <c r="AM676" s="349"/>
      <c r="AN676" s="349"/>
      <c r="AO676" s="349"/>
      <c r="AP676" s="349"/>
      <c r="AQ676" s="349"/>
      <c r="AR676" s="349"/>
      <c r="AS676" s="349"/>
      <c r="AT676" s="349"/>
      <c r="AU676" s="349"/>
      <c r="AV676" s="349"/>
      <c r="AW676" s="349"/>
      <c r="AX676" s="349"/>
      <c r="AY676" s="349"/>
      <c r="AZ676" s="349"/>
      <c r="BA676" s="349"/>
      <c r="BB676" s="349"/>
      <c r="BC676" s="349"/>
      <c r="BD676" s="349"/>
      <c r="BE676" s="349"/>
      <c r="BF676" s="349"/>
      <c r="BG676" s="349"/>
      <c r="BH676" s="349"/>
      <c r="BI676" s="349"/>
      <c r="BJ676" s="349"/>
      <c r="BK676" s="349"/>
      <c r="BL676" s="349"/>
      <c r="BM676" s="349"/>
      <c r="BN676" s="349"/>
      <c r="BO676" s="349"/>
      <c r="BP676" s="349"/>
      <c r="BQ676" s="349"/>
      <c r="BR676" s="349"/>
      <c r="BS676" s="349"/>
    </row>
    <row r="677" spans="1:71" x14ac:dyDescent="0.3">
      <c r="A677" s="349"/>
      <c r="B677" s="349"/>
      <c r="C677" s="349"/>
      <c r="D677" s="349"/>
      <c r="E677" s="349"/>
      <c r="F677" s="349"/>
      <c r="G677" s="349"/>
      <c r="H677" s="349"/>
      <c r="I677" s="349"/>
      <c r="J677" s="349"/>
      <c r="K677" s="349"/>
      <c r="L677" s="349"/>
      <c r="M677" s="349"/>
      <c r="N677" s="349"/>
      <c r="O677" s="349"/>
      <c r="P677" s="349"/>
      <c r="Q677" s="349"/>
      <c r="R677" s="349"/>
      <c r="S677" s="349"/>
      <c r="T677" s="349"/>
      <c r="U677" s="349"/>
      <c r="V677" s="349"/>
      <c r="W677" s="349"/>
      <c r="X677" s="349"/>
      <c r="Y677" s="349"/>
      <c r="Z677" s="349"/>
      <c r="AA677" s="349"/>
      <c r="AB677" s="349"/>
      <c r="AC677" s="349"/>
      <c r="AD677" s="349"/>
      <c r="AE677" s="349"/>
      <c r="AF677" s="349"/>
      <c r="AG677" s="349"/>
      <c r="AH677" s="349"/>
      <c r="AI677" s="349"/>
      <c r="AJ677" s="349"/>
      <c r="AK677" s="349"/>
      <c r="AL677" s="349"/>
      <c r="AM677" s="349"/>
      <c r="AN677" s="349"/>
      <c r="AO677" s="349"/>
      <c r="AP677" s="349"/>
      <c r="AQ677" s="349"/>
      <c r="AR677" s="349"/>
      <c r="AS677" s="349"/>
      <c r="AT677" s="349"/>
      <c r="AU677" s="349"/>
      <c r="AV677" s="349"/>
      <c r="AW677" s="349"/>
      <c r="AX677" s="349"/>
      <c r="AY677" s="349"/>
      <c r="AZ677" s="349"/>
      <c r="BA677" s="349"/>
      <c r="BB677" s="349"/>
      <c r="BC677" s="349"/>
      <c r="BD677" s="349"/>
      <c r="BE677" s="349"/>
      <c r="BF677" s="349"/>
      <c r="BG677" s="349"/>
      <c r="BH677" s="349"/>
      <c r="BI677" s="349"/>
      <c r="BJ677" s="349"/>
      <c r="BK677" s="349"/>
      <c r="BL677" s="349"/>
      <c r="BM677" s="349"/>
      <c r="BN677" s="349"/>
      <c r="BO677" s="349"/>
      <c r="BP677" s="349"/>
      <c r="BQ677" s="349"/>
      <c r="BR677" s="349"/>
      <c r="BS677" s="349"/>
    </row>
    <row r="678" spans="1:71" x14ac:dyDescent="0.3">
      <c r="A678" s="349"/>
      <c r="B678" s="349"/>
      <c r="C678" s="349"/>
      <c r="D678" s="349"/>
      <c r="E678" s="349"/>
      <c r="F678" s="349"/>
      <c r="G678" s="349"/>
      <c r="H678" s="349"/>
      <c r="I678" s="349"/>
      <c r="J678" s="349"/>
      <c r="K678" s="349"/>
      <c r="L678" s="349"/>
      <c r="M678" s="349"/>
      <c r="N678" s="349"/>
      <c r="O678" s="349"/>
      <c r="P678" s="349"/>
      <c r="Q678" s="349"/>
      <c r="R678" s="349"/>
      <c r="S678" s="349"/>
      <c r="T678" s="349"/>
      <c r="U678" s="349"/>
      <c r="V678" s="349"/>
      <c r="W678" s="349"/>
      <c r="X678" s="349"/>
      <c r="Y678" s="349"/>
      <c r="Z678" s="349"/>
      <c r="AA678" s="349"/>
      <c r="AB678" s="349"/>
      <c r="AC678" s="349"/>
      <c r="AD678" s="349"/>
      <c r="AE678" s="349"/>
      <c r="AF678" s="349"/>
      <c r="AG678" s="349"/>
      <c r="AH678" s="349"/>
      <c r="AI678" s="349"/>
      <c r="AJ678" s="349"/>
      <c r="AK678" s="349"/>
      <c r="AL678" s="349"/>
      <c r="AM678" s="349"/>
      <c r="AN678" s="349"/>
      <c r="AO678" s="349"/>
      <c r="AP678" s="349"/>
      <c r="AQ678" s="349"/>
      <c r="AR678" s="349"/>
      <c r="AS678" s="349"/>
      <c r="AT678" s="349"/>
      <c r="AU678" s="349"/>
      <c r="AV678" s="349"/>
      <c r="AW678" s="349"/>
      <c r="AX678" s="349"/>
      <c r="AY678" s="349"/>
      <c r="AZ678" s="349"/>
      <c r="BA678" s="349"/>
      <c r="BB678" s="349"/>
      <c r="BC678" s="349"/>
      <c r="BD678" s="349"/>
      <c r="BE678" s="349"/>
      <c r="BF678" s="349"/>
      <c r="BG678" s="349"/>
      <c r="BH678" s="349"/>
      <c r="BI678" s="349"/>
      <c r="BJ678" s="349"/>
      <c r="BK678" s="349"/>
      <c r="BL678" s="349"/>
      <c r="BM678" s="349"/>
      <c r="BN678" s="349"/>
      <c r="BO678" s="349"/>
      <c r="BP678" s="349"/>
      <c r="BQ678" s="349"/>
      <c r="BR678" s="349"/>
      <c r="BS678" s="349"/>
    </row>
    <row r="679" spans="1:71" x14ac:dyDescent="0.3">
      <c r="A679" s="349"/>
      <c r="B679" s="349"/>
      <c r="C679" s="349"/>
      <c r="D679" s="349"/>
      <c r="E679" s="349"/>
      <c r="F679" s="349"/>
      <c r="G679" s="349"/>
      <c r="H679" s="349"/>
      <c r="I679" s="349"/>
      <c r="J679" s="349"/>
      <c r="K679" s="349"/>
      <c r="L679" s="349"/>
      <c r="M679" s="349"/>
      <c r="N679" s="349"/>
      <c r="O679" s="349"/>
      <c r="P679" s="349"/>
      <c r="Q679" s="349"/>
      <c r="R679" s="349"/>
      <c r="S679" s="349"/>
      <c r="T679" s="349"/>
      <c r="U679" s="349"/>
      <c r="V679" s="349"/>
      <c r="W679" s="349"/>
      <c r="X679" s="349"/>
      <c r="Y679" s="349"/>
      <c r="Z679" s="349"/>
      <c r="AA679" s="349"/>
      <c r="AB679" s="349"/>
      <c r="AC679" s="349"/>
      <c r="AD679" s="349"/>
      <c r="AE679" s="349"/>
      <c r="AF679" s="349"/>
      <c r="AG679" s="349"/>
      <c r="AH679" s="349"/>
      <c r="AI679" s="349"/>
      <c r="AJ679" s="349"/>
      <c r="AK679" s="349"/>
      <c r="AL679" s="349"/>
      <c r="AM679" s="349"/>
      <c r="AN679" s="349"/>
      <c r="AO679" s="349"/>
      <c r="AP679" s="349"/>
      <c r="AQ679" s="349"/>
      <c r="AR679" s="349"/>
      <c r="AS679" s="349"/>
      <c r="AT679" s="349"/>
      <c r="AU679" s="349"/>
      <c r="AV679" s="349"/>
      <c r="AW679" s="349"/>
      <c r="AX679" s="349"/>
      <c r="AY679" s="349"/>
      <c r="AZ679" s="349"/>
      <c r="BA679" s="349"/>
      <c r="BB679" s="349"/>
      <c r="BC679" s="349"/>
      <c r="BD679" s="349"/>
      <c r="BE679" s="349"/>
      <c r="BF679" s="349"/>
      <c r="BG679" s="349"/>
      <c r="BH679" s="349"/>
      <c r="BI679" s="349"/>
      <c r="BJ679" s="349"/>
      <c r="BK679" s="349"/>
      <c r="BL679" s="349"/>
      <c r="BM679" s="349"/>
      <c r="BN679" s="349"/>
      <c r="BO679" s="349"/>
      <c r="BP679" s="349"/>
      <c r="BQ679" s="349"/>
      <c r="BR679" s="349"/>
      <c r="BS679" s="349"/>
    </row>
    <row r="680" spans="1:71" x14ac:dyDescent="0.3">
      <c r="A680" s="349"/>
      <c r="B680" s="349"/>
      <c r="C680" s="349"/>
      <c r="D680" s="349"/>
      <c r="E680" s="349"/>
      <c r="F680" s="349"/>
      <c r="G680" s="349"/>
      <c r="H680" s="349"/>
      <c r="I680" s="349"/>
      <c r="J680" s="349"/>
      <c r="K680" s="349"/>
      <c r="L680" s="349"/>
      <c r="M680" s="349"/>
      <c r="N680" s="349"/>
      <c r="O680" s="349"/>
      <c r="P680" s="349"/>
      <c r="Q680" s="349"/>
      <c r="R680" s="349"/>
      <c r="S680" s="349"/>
      <c r="T680" s="349"/>
      <c r="U680" s="349"/>
      <c r="V680" s="349"/>
      <c r="W680" s="349"/>
      <c r="X680" s="349"/>
      <c r="Y680" s="349"/>
      <c r="Z680" s="349"/>
      <c r="AA680" s="349"/>
      <c r="AB680" s="349"/>
      <c r="AC680" s="349"/>
      <c r="AD680" s="349"/>
      <c r="AE680" s="349"/>
      <c r="AF680" s="349"/>
      <c r="AG680" s="349"/>
      <c r="AH680" s="349"/>
      <c r="AI680" s="349"/>
      <c r="AJ680" s="349"/>
      <c r="AK680" s="349"/>
      <c r="AL680" s="349"/>
      <c r="AM680" s="349"/>
      <c r="AN680" s="349"/>
      <c r="AO680" s="349"/>
      <c r="AP680" s="349"/>
      <c r="AQ680" s="349"/>
      <c r="AR680" s="349"/>
      <c r="AS680" s="349"/>
      <c r="AT680" s="349"/>
      <c r="AU680" s="349"/>
      <c r="AV680" s="349"/>
      <c r="AW680" s="349"/>
      <c r="AX680" s="349"/>
      <c r="AY680" s="349"/>
      <c r="AZ680" s="349"/>
      <c r="BA680" s="349"/>
      <c r="BB680" s="349"/>
      <c r="BC680" s="349"/>
      <c r="BD680" s="349"/>
      <c r="BE680" s="349"/>
      <c r="BF680" s="349"/>
      <c r="BG680" s="349"/>
      <c r="BH680" s="349"/>
      <c r="BI680" s="349"/>
      <c r="BJ680" s="349"/>
      <c r="BK680" s="349"/>
      <c r="BL680" s="349"/>
      <c r="BM680" s="349"/>
      <c r="BN680" s="349"/>
      <c r="BO680" s="349"/>
      <c r="BP680" s="349"/>
      <c r="BQ680" s="349"/>
      <c r="BR680" s="349"/>
      <c r="BS680" s="349"/>
    </row>
    <row r="681" spans="1:71" x14ac:dyDescent="0.3">
      <c r="A681" s="349"/>
      <c r="B681" s="349"/>
      <c r="C681" s="349"/>
      <c r="D681" s="349"/>
      <c r="E681" s="349"/>
      <c r="F681" s="349"/>
      <c r="G681" s="349"/>
      <c r="H681" s="349"/>
      <c r="I681" s="349"/>
      <c r="J681" s="349"/>
      <c r="K681" s="349"/>
      <c r="L681" s="349"/>
      <c r="M681" s="349"/>
      <c r="N681" s="349"/>
      <c r="O681" s="349"/>
      <c r="P681" s="349"/>
      <c r="Q681" s="349"/>
      <c r="R681" s="349"/>
      <c r="S681" s="349"/>
      <c r="T681" s="349"/>
      <c r="U681" s="349"/>
      <c r="V681" s="349"/>
      <c r="W681" s="349"/>
      <c r="X681" s="349"/>
      <c r="Y681" s="349"/>
      <c r="Z681" s="349"/>
      <c r="AA681" s="349"/>
      <c r="AB681" s="349"/>
      <c r="AC681" s="349"/>
      <c r="AD681" s="349"/>
      <c r="AE681" s="349"/>
      <c r="AF681" s="349"/>
      <c r="AG681" s="349"/>
      <c r="AH681" s="349"/>
      <c r="AI681" s="349"/>
      <c r="AJ681" s="349"/>
      <c r="AK681" s="349"/>
      <c r="AL681" s="349"/>
      <c r="AM681" s="349"/>
      <c r="AN681" s="349"/>
      <c r="AO681" s="349"/>
      <c r="AP681" s="349"/>
      <c r="AQ681" s="349"/>
      <c r="AR681" s="349"/>
      <c r="AS681" s="349"/>
      <c r="AT681" s="349"/>
      <c r="AU681" s="349"/>
      <c r="AV681" s="349"/>
      <c r="AW681" s="349"/>
      <c r="AX681" s="349"/>
      <c r="AY681" s="349"/>
      <c r="AZ681" s="349"/>
      <c r="BA681" s="349"/>
      <c r="BB681" s="349"/>
      <c r="BC681" s="349"/>
      <c r="BD681" s="349"/>
      <c r="BE681" s="349"/>
      <c r="BF681" s="349"/>
      <c r="BG681" s="349"/>
      <c r="BH681" s="349"/>
      <c r="BI681" s="349"/>
      <c r="BJ681" s="349"/>
      <c r="BK681" s="349"/>
      <c r="BL681" s="349"/>
      <c r="BM681" s="349"/>
      <c r="BN681" s="349"/>
      <c r="BO681" s="349"/>
      <c r="BP681" s="349"/>
      <c r="BQ681" s="349"/>
      <c r="BR681" s="349"/>
      <c r="BS681" s="349"/>
    </row>
    <row r="682" spans="1:71" x14ac:dyDescent="0.3">
      <c r="A682" s="349"/>
      <c r="B682" s="349"/>
      <c r="C682" s="349"/>
      <c r="D682" s="349"/>
      <c r="E682" s="349"/>
      <c r="F682" s="349"/>
      <c r="G682" s="349"/>
      <c r="H682" s="349"/>
      <c r="I682" s="349"/>
      <c r="J682" s="349"/>
      <c r="K682" s="349"/>
      <c r="L682" s="349"/>
      <c r="M682" s="349"/>
      <c r="N682" s="349"/>
      <c r="O682" s="349"/>
      <c r="P682" s="349"/>
      <c r="Q682" s="349"/>
      <c r="R682" s="349"/>
      <c r="S682" s="349"/>
      <c r="T682" s="349"/>
      <c r="U682" s="349"/>
      <c r="V682" s="349"/>
      <c r="W682" s="349"/>
      <c r="X682" s="349"/>
      <c r="Y682" s="349"/>
      <c r="Z682" s="349"/>
      <c r="AA682" s="349"/>
      <c r="AB682" s="349"/>
      <c r="AC682" s="349"/>
      <c r="AD682" s="349"/>
      <c r="AE682" s="349"/>
      <c r="AF682" s="349"/>
      <c r="AG682" s="349"/>
      <c r="AH682" s="349"/>
      <c r="AI682" s="349"/>
      <c r="AJ682" s="349"/>
      <c r="AK682" s="349"/>
      <c r="AL682" s="349"/>
      <c r="AM682" s="349"/>
      <c r="AN682" s="349"/>
      <c r="AO682" s="349"/>
      <c r="AP682" s="349"/>
      <c r="AQ682" s="349"/>
      <c r="AR682" s="349"/>
      <c r="AS682" s="349"/>
      <c r="AT682" s="349"/>
      <c r="AU682" s="349"/>
      <c r="AV682" s="349"/>
      <c r="AW682" s="349"/>
      <c r="AX682" s="349"/>
      <c r="AY682" s="349"/>
      <c r="AZ682" s="349"/>
      <c r="BA682" s="349"/>
      <c r="BB682" s="349"/>
      <c r="BC682" s="349"/>
      <c r="BD682" s="349"/>
      <c r="BE682" s="349"/>
      <c r="BF682" s="349"/>
      <c r="BG682" s="349"/>
      <c r="BH682" s="349"/>
      <c r="BI682" s="349"/>
      <c r="BJ682" s="349"/>
      <c r="BK682" s="349"/>
      <c r="BL682" s="349"/>
      <c r="BM682" s="349"/>
      <c r="BN682" s="349"/>
      <c r="BO682" s="349"/>
      <c r="BP682" s="349"/>
      <c r="BQ682" s="349"/>
      <c r="BR682" s="349"/>
      <c r="BS682" s="349"/>
    </row>
    <row r="683" spans="1:71" x14ac:dyDescent="0.3">
      <c r="A683" s="349"/>
      <c r="B683" s="349"/>
      <c r="C683" s="349"/>
      <c r="D683" s="349"/>
      <c r="E683" s="349"/>
      <c r="F683" s="349"/>
      <c r="G683" s="349"/>
      <c r="H683" s="349"/>
      <c r="I683" s="349"/>
      <c r="J683" s="349"/>
      <c r="K683" s="349"/>
      <c r="L683" s="349"/>
      <c r="M683" s="349"/>
      <c r="N683" s="349"/>
      <c r="O683" s="349"/>
      <c r="P683" s="349"/>
      <c r="Q683" s="349"/>
      <c r="R683" s="349"/>
      <c r="S683" s="349"/>
      <c r="T683" s="349"/>
      <c r="U683" s="349"/>
      <c r="V683" s="349"/>
      <c r="W683" s="349"/>
      <c r="X683" s="349"/>
      <c r="Y683" s="349"/>
      <c r="Z683" s="349"/>
      <c r="AA683" s="349"/>
      <c r="AB683" s="349"/>
      <c r="AC683" s="349"/>
      <c r="AD683" s="349"/>
      <c r="AE683" s="349"/>
      <c r="AF683" s="349"/>
      <c r="AG683" s="349"/>
      <c r="AH683" s="349"/>
      <c r="AI683" s="349"/>
      <c r="AJ683" s="349"/>
      <c r="AK683" s="349"/>
      <c r="AL683" s="349"/>
      <c r="AM683" s="349"/>
      <c r="AN683" s="349"/>
      <c r="AO683" s="349"/>
      <c r="AP683" s="349"/>
      <c r="AQ683" s="349"/>
      <c r="AR683" s="349"/>
      <c r="AS683" s="349"/>
      <c r="AT683" s="349"/>
      <c r="AU683" s="349"/>
      <c r="AV683" s="349"/>
      <c r="AW683" s="349"/>
      <c r="AX683" s="349"/>
      <c r="AY683" s="349"/>
      <c r="AZ683" s="349"/>
      <c r="BA683" s="349"/>
      <c r="BB683" s="349"/>
      <c r="BC683" s="349"/>
      <c r="BD683" s="349"/>
      <c r="BE683" s="349"/>
      <c r="BF683" s="349"/>
      <c r="BG683" s="349"/>
      <c r="BH683" s="349"/>
      <c r="BI683" s="349"/>
      <c r="BJ683" s="349"/>
      <c r="BK683" s="349"/>
      <c r="BL683" s="349"/>
      <c r="BM683" s="349"/>
      <c r="BN683" s="349"/>
      <c r="BO683" s="349"/>
      <c r="BP683" s="349"/>
      <c r="BQ683" s="349"/>
      <c r="BR683" s="349"/>
      <c r="BS683" s="349"/>
    </row>
    <row r="684" spans="1:71" x14ac:dyDescent="0.3">
      <c r="A684" s="349"/>
      <c r="B684" s="349"/>
      <c r="C684" s="349"/>
      <c r="D684" s="349"/>
      <c r="E684" s="349"/>
      <c r="F684" s="349"/>
      <c r="G684" s="349"/>
      <c r="H684" s="349"/>
      <c r="I684" s="349"/>
      <c r="J684" s="349"/>
      <c r="K684" s="349"/>
      <c r="L684" s="349"/>
      <c r="M684" s="349"/>
      <c r="N684" s="349"/>
      <c r="O684" s="349"/>
      <c r="P684" s="349"/>
      <c r="Q684" s="349"/>
      <c r="R684" s="349"/>
      <c r="S684" s="349"/>
      <c r="T684" s="349"/>
      <c r="U684" s="349"/>
      <c r="V684" s="349"/>
      <c r="W684" s="349"/>
      <c r="X684" s="349"/>
      <c r="Y684" s="349"/>
      <c r="Z684" s="349"/>
      <c r="AA684" s="349"/>
      <c r="AB684" s="349"/>
      <c r="AC684" s="349"/>
      <c r="AD684" s="349"/>
      <c r="AE684" s="349"/>
      <c r="AF684" s="349"/>
      <c r="AG684" s="349"/>
      <c r="AH684" s="349"/>
      <c r="AI684" s="349"/>
      <c r="AJ684" s="349"/>
      <c r="AK684" s="349"/>
      <c r="AL684" s="349"/>
      <c r="AM684" s="349"/>
      <c r="AN684" s="349"/>
      <c r="AO684" s="349"/>
      <c r="AP684" s="349"/>
      <c r="AQ684" s="349"/>
      <c r="AR684" s="349"/>
      <c r="AS684" s="349"/>
      <c r="AT684" s="349"/>
      <c r="AU684" s="349"/>
      <c r="AV684" s="349"/>
      <c r="AW684" s="349"/>
      <c r="AX684" s="349"/>
      <c r="AY684" s="349"/>
      <c r="AZ684" s="349"/>
      <c r="BA684" s="349"/>
      <c r="BB684" s="349"/>
      <c r="BC684" s="349"/>
      <c r="BD684" s="349"/>
      <c r="BE684" s="349"/>
      <c r="BF684" s="349"/>
      <c r="BG684" s="349"/>
      <c r="BH684" s="349"/>
      <c r="BI684" s="349"/>
      <c r="BJ684" s="349"/>
      <c r="BK684" s="349"/>
      <c r="BL684" s="349"/>
      <c r="BM684" s="349"/>
      <c r="BN684" s="349"/>
      <c r="BO684" s="349"/>
      <c r="BP684" s="349"/>
      <c r="BQ684" s="349"/>
      <c r="BR684" s="349"/>
      <c r="BS684" s="349"/>
    </row>
    <row r="685" spans="1:71" x14ac:dyDescent="0.3">
      <c r="A685" s="349"/>
      <c r="B685" s="349"/>
      <c r="C685" s="349"/>
      <c r="D685" s="349"/>
      <c r="E685" s="349"/>
      <c r="F685" s="349"/>
      <c r="G685" s="349"/>
      <c r="H685" s="349"/>
      <c r="I685" s="349"/>
      <c r="J685" s="349"/>
      <c r="K685" s="349"/>
      <c r="L685" s="349"/>
      <c r="M685" s="349"/>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row>
    <row r="686" spans="1:71" x14ac:dyDescent="0.3">
      <c r="A686" s="349"/>
      <c r="B686" s="349"/>
      <c r="C686" s="349"/>
      <c r="D686" s="349"/>
      <c r="E686" s="349"/>
      <c r="F686" s="349"/>
      <c r="G686" s="349"/>
      <c r="H686" s="349"/>
      <c r="I686" s="349"/>
      <c r="J686" s="349"/>
      <c r="K686" s="349"/>
      <c r="L686" s="349"/>
      <c r="M686" s="349"/>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row>
    <row r="687" spans="1:71" x14ac:dyDescent="0.3">
      <c r="A687" s="349"/>
      <c r="B687" s="349"/>
      <c r="C687" s="349"/>
      <c r="D687" s="349"/>
      <c r="E687" s="349"/>
      <c r="F687" s="349"/>
      <c r="G687" s="349"/>
      <c r="H687" s="349"/>
      <c r="I687" s="349"/>
      <c r="J687" s="349"/>
      <c r="K687" s="349"/>
      <c r="L687" s="349"/>
      <c r="M687" s="349"/>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row>
    <row r="688" spans="1:71" x14ac:dyDescent="0.3">
      <c r="A688" s="349"/>
      <c r="B688" s="349"/>
      <c r="C688" s="349"/>
      <c r="D688" s="349"/>
      <c r="E688" s="349"/>
      <c r="F688" s="349"/>
      <c r="G688" s="349"/>
      <c r="H688" s="349"/>
      <c r="I688" s="349"/>
      <c r="J688" s="349"/>
      <c r="K688" s="349"/>
      <c r="L688" s="349"/>
      <c r="M688" s="349"/>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row>
    <row r="689" spans="1:71" x14ac:dyDescent="0.3">
      <c r="A689" s="349"/>
      <c r="B689" s="349"/>
      <c r="C689" s="349"/>
      <c r="D689" s="349"/>
      <c r="E689" s="349"/>
      <c r="F689" s="349"/>
      <c r="G689" s="349"/>
      <c r="H689" s="349"/>
      <c r="I689" s="349"/>
      <c r="J689" s="349"/>
      <c r="K689" s="349"/>
      <c r="L689" s="349"/>
      <c r="M689" s="349"/>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row>
    <row r="690" spans="1:71" x14ac:dyDescent="0.3">
      <c r="A690" s="349"/>
      <c r="B690" s="349"/>
      <c r="C690" s="349"/>
      <c r="D690" s="349"/>
      <c r="E690" s="349"/>
      <c r="F690" s="349"/>
      <c r="G690" s="349"/>
      <c r="H690" s="349"/>
      <c r="I690" s="349"/>
      <c r="J690" s="349"/>
      <c r="K690" s="349"/>
      <c r="L690" s="349"/>
      <c r="M690" s="349"/>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row>
    <row r="691" spans="1:71" x14ac:dyDescent="0.3">
      <c r="A691" s="349"/>
      <c r="B691" s="349"/>
      <c r="C691" s="349"/>
      <c r="D691" s="349"/>
      <c r="E691" s="349"/>
      <c r="F691" s="349"/>
      <c r="G691" s="349"/>
      <c r="H691" s="349"/>
      <c r="I691" s="349"/>
      <c r="J691" s="349"/>
      <c r="K691" s="349"/>
      <c r="L691" s="349"/>
      <c r="M691" s="349"/>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row>
    <row r="692" spans="1:71" x14ac:dyDescent="0.3">
      <c r="A692" s="349"/>
      <c r="B692" s="349"/>
      <c r="C692" s="349"/>
      <c r="D692" s="349"/>
      <c r="E692" s="349"/>
      <c r="F692" s="349"/>
      <c r="G692" s="349"/>
      <c r="H692" s="349"/>
      <c r="I692" s="349"/>
      <c r="J692" s="349"/>
      <c r="K692" s="349"/>
      <c r="L692" s="349"/>
      <c r="M692" s="349"/>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row>
    <row r="693" spans="1:71" x14ac:dyDescent="0.3">
      <c r="A693" s="349"/>
      <c r="B693" s="349"/>
      <c r="C693" s="349"/>
      <c r="D693" s="349"/>
      <c r="E693" s="349"/>
      <c r="F693" s="349"/>
      <c r="G693" s="349"/>
      <c r="H693" s="349"/>
      <c r="I693" s="349"/>
      <c r="J693" s="349"/>
      <c r="K693" s="349"/>
      <c r="L693" s="349"/>
      <c r="M693" s="349"/>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row>
    <row r="694" spans="1:71" x14ac:dyDescent="0.3">
      <c r="A694" s="349"/>
      <c r="B694" s="349"/>
      <c r="C694" s="349"/>
      <c r="D694" s="349"/>
      <c r="E694" s="349"/>
      <c r="F694" s="349"/>
      <c r="G694" s="349"/>
      <c r="H694" s="349"/>
      <c r="I694" s="349"/>
      <c r="J694" s="349"/>
      <c r="K694" s="349"/>
      <c r="L694" s="349"/>
      <c r="M694" s="349"/>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row>
    <row r="695" spans="1:71" x14ac:dyDescent="0.3">
      <c r="A695" s="349"/>
      <c r="B695" s="349"/>
      <c r="C695" s="349"/>
      <c r="D695" s="349"/>
      <c r="E695" s="349"/>
      <c r="F695" s="349"/>
      <c r="G695" s="349"/>
      <c r="H695" s="349"/>
      <c r="I695" s="349"/>
      <c r="J695" s="349"/>
      <c r="K695" s="349"/>
      <c r="L695" s="349"/>
      <c r="M695" s="349"/>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row>
    <row r="696" spans="1:71" x14ac:dyDescent="0.3">
      <c r="A696" s="349"/>
      <c r="B696" s="349"/>
      <c r="C696" s="349"/>
      <c r="D696" s="349"/>
      <c r="E696" s="349"/>
      <c r="F696" s="349"/>
      <c r="G696" s="349"/>
      <c r="H696" s="349"/>
      <c r="I696" s="349"/>
      <c r="J696" s="349"/>
      <c r="K696" s="349"/>
      <c r="L696" s="349"/>
      <c r="M696" s="349"/>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row>
    <row r="697" spans="1:71" x14ac:dyDescent="0.3">
      <c r="A697" s="349"/>
      <c r="B697" s="349"/>
      <c r="C697" s="349"/>
      <c r="D697" s="349"/>
      <c r="E697" s="349"/>
      <c r="F697" s="349"/>
      <c r="G697" s="349"/>
      <c r="H697" s="349"/>
      <c r="I697" s="349"/>
      <c r="J697" s="349"/>
      <c r="K697" s="349"/>
      <c r="L697" s="349"/>
      <c r="M697" s="349"/>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row>
    <row r="698" spans="1:71" x14ac:dyDescent="0.3">
      <c r="A698" s="349"/>
      <c r="B698" s="349"/>
      <c r="C698" s="349"/>
      <c r="D698" s="349"/>
      <c r="E698" s="349"/>
      <c r="F698" s="349"/>
      <c r="G698" s="349"/>
      <c r="H698" s="349"/>
      <c r="I698" s="349"/>
      <c r="J698" s="349"/>
      <c r="K698" s="349"/>
      <c r="L698" s="349"/>
      <c r="M698" s="349"/>
      <c r="N698" s="349"/>
      <c r="O698" s="349"/>
      <c r="P698" s="349"/>
      <c r="Q698" s="349"/>
      <c r="R698" s="349"/>
      <c r="S698" s="349"/>
      <c r="T698" s="349"/>
      <c r="U698" s="349"/>
      <c r="V698" s="349"/>
      <c r="W698" s="349"/>
      <c r="X698" s="349"/>
      <c r="Y698" s="349"/>
      <c r="Z698" s="349"/>
      <c r="AA698" s="349"/>
      <c r="AB698" s="349"/>
      <c r="AC698" s="349"/>
      <c r="AD698" s="349"/>
      <c r="AE698" s="349"/>
      <c r="AF698" s="349"/>
      <c r="AG698" s="349"/>
      <c r="AH698" s="349"/>
      <c r="AI698" s="349"/>
      <c r="AJ698" s="349"/>
      <c r="AK698" s="349"/>
      <c r="AL698" s="349"/>
      <c r="AM698" s="349"/>
      <c r="AN698" s="349"/>
      <c r="AO698" s="349"/>
      <c r="AP698" s="349"/>
      <c r="AQ698" s="349"/>
      <c r="AR698" s="349"/>
      <c r="AS698" s="349"/>
      <c r="AT698" s="349"/>
      <c r="AU698" s="349"/>
      <c r="AV698" s="349"/>
      <c r="AW698" s="349"/>
      <c r="AX698" s="349"/>
      <c r="AY698" s="349"/>
      <c r="AZ698" s="349"/>
      <c r="BA698" s="349"/>
      <c r="BB698" s="349"/>
      <c r="BC698" s="349"/>
      <c r="BD698" s="349"/>
      <c r="BE698" s="349"/>
      <c r="BF698" s="349"/>
      <c r="BG698" s="349"/>
      <c r="BH698" s="349"/>
      <c r="BI698" s="349"/>
      <c r="BJ698" s="349"/>
      <c r="BK698" s="349"/>
      <c r="BL698" s="349"/>
      <c r="BM698" s="349"/>
      <c r="BN698" s="349"/>
      <c r="BO698" s="349"/>
      <c r="BP698" s="349"/>
      <c r="BQ698" s="349"/>
      <c r="BR698" s="349"/>
      <c r="BS698" s="349"/>
    </row>
    <row r="699" spans="1:71" x14ac:dyDescent="0.3">
      <c r="A699" s="349"/>
      <c r="B699" s="349"/>
      <c r="C699" s="349"/>
      <c r="D699" s="349"/>
      <c r="E699" s="349"/>
      <c r="F699" s="349"/>
      <c r="G699" s="349"/>
      <c r="H699" s="349"/>
      <c r="I699" s="349"/>
      <c r="J699" s="349"/>
      <c r="K699" s="349"/>
      <c r="L699" s="349"/>
      <c r="M699" s="349"/>
      <c r="N699" s="349"/>
      <c r="O699" s="349"/>
      <c r="P699" s="349"/>
      <c r="Q699" s="349"/>
      <c r="R699" s="349"/>
      <c r="S699" s="349"/>
      <c r="T699" s="349"/>
      <c r="U699" s="349"/>
      <c r="V699" s="349"/>
      <c r="W699" s="349"/>
      <c r="X699" s="349"/>
      <c r="Y699" s="349"/>
      <c r="Z699" s="349"/>
      <c r="AA699" s="349"/>
      <c r="AB699" s="349"/>
      <c r="AC699" s="349"/>
      <c r="AD699" s="349"/>
      <c r="AE699" s="349"/>
      <c r="AF699" s="349"/>
      <c r="AG699" s="349"/>
      <c r="AH699" s="349"/>
      <c r="AI699" s="349"/>
      <c r="AJ699" s="349"/>
      <c r="AK699" s="349"/>
      <c r="AL699" s="349"/>
      <c r="AM699" s="349"/>
      <c r="AN699" s="349"/>
      <c r="AO699" s="349"/>
      <c r="AP699" s="349"/>
      <c r="AQ699" s="349"/>
      <c r="AR699" s="349"/>
      <c r="AS699" s="349"/>
      <c r="AT699" s="349"/>
      <c r="AU699" s="349"/>
      <c r="AV699" s="349"/>
      <c r="AW699" s="349"/>
      <c r="AX699" s="349"/>
      <c r="AY699" s="349"/>
      <c r="AZ699" s="349"/>
      <c r="BA699" s="349"/>
      <c r="BB699" s="349"/>
      <c r="BC699" s="349"/>
      <c r="BD699" s="349"/>
      <c r="BE699" s="349"/>
      <c r="BF699" s="349"/>
      <c r="BG699" s="349"/>
      <c r="BH699" s="349"/>
      <c r="BI699" s="349"/>
      <c r="BJ699" s="349"/>
      <c r="BK699" s="349"/>
      <c r="BL699" s="349"/>
      <c r="BM699" s="349"/>
      <c r="BN699" s="349"/>
      <c r="BO699" s="349"/>
      <c r="BP699" s="349"/>
      <c r="BQ699" s="349"/>
      <c r="BR699" s="349"/>
      <c r="BS699" s="349"/>
    </row>
    <row r="700" spans="1:71" x14ac:dyDescent="0.3">
      <c r="A700" s="349"/>
      <c r="B700" s="349"/>
      <c r="C700" s="349"/>
      <c r="D700" s="349"/>
      <c r="E700" s="349"/>
      <c r="F700" s="349"/>
      <c r="G700" s="349"/>
      <c r="H700" s="349"/>
      <c r="I700" s="349"/>
      <c r="J700" s="349"/>
      <c r="K700" s="349"/>
      <c r="L700" s="349"/>
      <c r="M700" s="349"/>
      <c r="N700" s="349"/>
      <c r="O700" s="349"/>
      <c r="P700" s="349"/>
      <c r="Q700" s="349"/>
      <c r="R700" s="349"/>
      <c r="S700" s="349"/>
      <c r="T700" s="349"/>
      <c r="U700" s="349"/>
      <c r="V700" s="349"/>
      <c r="W700" s="349"/>
      <c r="X700" s="349"/>
      <c r="Y700" s="349"/>
      <c r="Z700" s="349"/>
      <c r="AA700" s="349"/>
      <c r="AB700" s="349"/>
      <c r="AC700" s="349"/>
      <c r="AD700" s="349"/>
      <c r="AE700" s="349"/>
      <c r="AF700" s="349"/>
      <c r="AG700" s="349"/>
      <c r="AH700" s="349"/>
      <c r="AI700" s="349"/>
      <c r="AJ700" s="349"/>
      <c r="AK700" s="349"/>
      <c r="AL700" s="349"/>
      <c r="AM700" s="349"/>
      <c r="AN700" s="349"/>
      <c r="AO700" s="349"/>
      <c r="AP700" s="349"/>
      <c r="AQ700" s="349"/>
      <c r="AR700" s="349"/>
      <c r="AS700" s="349"/>
      <c r="AT700" s="349"/>
      <c r="AU700" s="349"/>
      <c r="AV700" s="349"/>
      <c r="AW700" s="349"/>
      <c r="AX700" s="349"/>
      <c r="AY700" s="349"/>
      <c r="AZ700" s="349"/>
      <c r="BA700" s="349"/>
      <c r="BB700" s="349"/>
      <c r="BC700" s="349"/>
      <c r="BD700" s="349"/>
      <c r="BE700" s="349"/>
      <c r="BF700" s="349"/>
      <c r="BG700" s="349"/>
      <c r="BH700" s="349"/>
      <c r="BI700" s="349"/>
      <c r="BJ700" s="349"/>
      <c r="BK700" s="349"/>
      <c r="BL700" s="349"/>
      <c r="BM700" s="349"/>
      <c r="BN700" s="349"/>
      <c r="BO700" s="349"/>
      <c r="BP700" s="349"/>
      <c r="BQ700" s="349"/>
      <c r="BR700" s="349"/>
      <c r="BS700" s="349"/>
    </row>
    <row r="701" spans="1:71" x14ac:dyDescent="0.3">
      <c r="A701" s="349"/>
      <c r="B701" s="349"/>
      <c r="C701" s="349"/>
      <c r="D701" s="349"/>
      <c r="E701" s="349"/>
      <c r="F701" s="349"/>
      <c r="G701" s="349"/>
      <c r="H701" s="349"/>
      <c r="I701" s="349"/>
      <c r="J701" s="349"/>
      <c r="K701" s="349"/>
      <c r="L701" s="349"/>
      <c r="M701" s="349"/>
      <c r="N701" s="349"/>
      <c r="O701" s="349"/>
      <c r="P701" s="349"/>
      <c r="Q701" s="349"/>
      <c r="R701" s="349"/>
      <c r="S701" s="349"/>
      <c r="T701" s="349"/>
      <c r="U701" s="349"/>
      <c r="V701" s="349"/>
      <c r="W701" s="349"/>
      <c r="X701" s="349"/>
      <c r="Y701" s="349"/>
      <c r="Z701" s="349"/>
      <c r="AA701" s="349"/>
      <c r="AB701" s="349"/>
      <c r="AC701" s="349"/>
      <c r="AD701" s="349"/>
      <c r="AE701" s="349"/>
      <c r="AF701" s="349"/>
      <c r="AG701" s="349"/>
      <c r="AH701" s="349"/>
      <c r="AI701" s="349"/>
      <c r="AJ701" s="349"/>
      <c r="AK701" s="349"/>
      <c r="AL701" s="349"/>
      <c r="AM701" s="349"/>
      <c r="AN701" s="349"/>
      <c r="AO701" s="349"/>
      <c r="AP701" s="349"/>
      <c r="AQ701" s="349"/>
      <c r="AR701" s="349"/>
      <c r="AS701" s="349"/>
      <c r="AT701" s="349"/>
      <c r="AU701" s="349"/>
      <c r="AV701" s="349"/>
      <c r="AW701" s="349"/>
      <c r="AX701" s="349"/>
      <c r="AY701" s="349"/>
      <c r="AZ701" s="349"/>
      <c r="BA701" s="349"/>
      <c r="BB701" s="349"/>
      <c r="BC701" s="349"/>
      <c r="BD701" s="349"/>
      <c r="BE701" s="349"/>
      <c r="BF701" s="349"/>
      <c r="BG701" s="349"/>
      <c r="BH701" s="349"/>
      <c r="BI701" s="349"/>
      <c r="BJ701" s="349"/>
      <c r="BK701" s="349"/>
      <c r="BL701" s="349"/>
      <c r="BM701" s="349"/>
      <c r="BN701" s="349"/>
      <c r="BO701" s="349"/>
      <c r="BP701" s="349"/>
      <c r="BQ701" s="349"/>
      <c r="BR701" s="349"/>
      <c r="BS701" s="349"/>
    </row>
  </sheetData>
  <protectedRanges>
    <protectedRange sqref="F63" name="Rango1"/>
  </protectedRanges>
  <mergeCells count="15">
    <mergeCell ref="E19:K19"/>
    <mergeCell ref="C26:M28"/>
    <mergeCell ref="C17:D17"/>
    <mergeCell ref="E17:K17"/>
    <mergeCell ref="F30:J30"/>
    <mergeCell ref="B23:M23"/>
    <mergeCell ref="C19:D19"/>
    <mergeCell ref="C21:K21"/>
    <mergeCell ref="E5:K8"/>
    <mergeCell ref="C13:D13"/>
    <mergeCell ref="C15:D15"/>
    <mergeCell ref="E15:K15"/>
    <mergeCell ref="B11:M11"/>
    <mergeCell ref="E13:K13"/>
    <mergeCell ref="M7:M8"/>
  </mergeCells>
  <phoneticPr fontId="73" type="noConversion"/>
  <hyperlinks>
    <hyperlink ref="E15" location="'2_Combustibles fósiles'!A1" display="HC Alcance 1: Combustibles fósiles" xr:uid="{00000000-0004-0000-0000-000000000000}"/>
    <hyperlink ref="E17" location="'6_Resultados'!A1" display="Informe final_Resultados" xr:uid="{00000000-0004-0000-0000-000001000000}"/>
    <hyperlink ref="E13" location="'1_Datos generales organización'!A1" display="Datos generales de la organización" xr:uid="{00000000-0004-0000-0000-000002000000}"/>
    <hyperlink ref="C21:I21" location="'Revisiones calculadora '!A1" display="Anexo : Revisiones de la calculadora" xr:uid="{00000000-0004-0000-0000-000003000000}"/>
    <hyperlink ref="E15:K15" location="'2. Estimación absorción total'!A1" display="Estimación de absorción total" xr:uid="{00000000-0004-0000-0000-000004000000}"/>
    <hyperlink ref="E19" location="'6_Resultados'!A1" display="Informe final_Resultados" xr:uid="{00000000-0004-0000-0000-000005000000}"/>
    <hyperlink ref="E19:K19" location="'4. Factores de absorción'!A1" display="Factores de absorción" xr:uid="{00000000-0004-0000-0000-000006000000}"/>
    <hyperlink ref="E13:K13" location="'1. Datos generales proyecto'!A1" display="Datos generales del proyecto" xr:uid="{00000000-0004-0000-0000-000007000000}"/>
    <hyperlink ref="E17:K17" location="'3. Absorciones disponibles'!A1" display="Absorciones disponibles" xr:uid="{00000000-0004-0000-0000-000008000000}"/>
  </hyperlinks>
  <pageMargins left="0.7" right="0.7" top="0.75" bottom="0.75" header="0.3" footer="0.3"/>
  <pageSetup paperSize="9" orientation="portrait" horizontalDpi="300" verticalDpi="300" r:id="rId1"/>
  <ignoredErrors>
    <ignoredError sqref="C13 C15 C17 C19"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H293"/>
  <sheetViews>
    <sheetView workbookViewId="0">
      <selection activeCell="F212" sqref="F212:G212"/>
    </sheetView>
  </sheetViews>
  <sheetFormatPr baseColWidth="10" defaultRowHeight="15" x14ac:dyDescent="0.25"/>
  <cols>
    <col min="3" max="3" width="31.28515625" bestFit="1" customWidth="1"/>
    <col min="5" max="5" width="18.28515625" customWidth="1"/>
    <col min="8" max="8" width="11.42578125" style="20"/>
  </cols>
  <sheetData>
    <row r="1" spans="1:8" ht="33" x14ac:dyDescent="0.25">
      <c r="A1" s="34" t="s">
        <v>182</v>
      </c>
      <c r="B1" s="34" t="s">
        <v>183</v>
      </c>
      <c r="C1" s="58" t="s">
        <v>93</v>
      </c>
      <c r="D1" s="34" t="s">
        <v>184</v>
      </c>
      <c r="E1" s="59" t="s">
        <v>186</v>
      </c>
      <c r="F1" s="58" t="s">
        <v>185</v>
      </c>
      <c r="G1" s="58" t="s">
        <v>132</v>
      </c>
      <c r="H1" s="20" t="s">
        <v>496</v>
      </c>
    </row>
    <row r="2" spans="1:8" x14ac:dyDescent="0.25">
      <c r="A2" s="60">
        <v>4.6757813230590823</v>
      </c>
      <c r="B2" s="61">
        <v>20</v>
      </c>
      <c r="C2" s="62" t="s">
        <v>3</v>
      </c>
      <c r="D2" s="63">
        <v>4.8031274739990908E-2</v>
      </c>
      <c r="E2" s="65">
        <v>6.3544816116135994E-2</v>
      </c>
      <c r="F2" s="64">
        <v>0.61</v>
      </c>
      <c r="G2" s="64">
        <v>0.183</v>
      </c>
      <c r="H2" s="20">
        <f>D2*F2*(1+G2)*0.5*44/12</f>
        <v>6.3544816116136008E-2</v>
      </c>
    </row>
    <row r="3" spans="1:8" x14ac:dyDescent="0.25">
      <c r="A3" s="60">
        <v>5.8447266538238534</v>
      </c>
      <c r="B3" s="61">
        <v>25</v>
      </c>
      <c r="C3" s="62" t="s">
        <v>3</v>
      </c>
      <c r="D3" s="63">
        <v>6.0039093424988636E-2</v>
      </c>
      <c r="E3" s="65">
        <v>7.943102014517002E-2</v>
      </c>
      <c r="F3" s="64">
        <v>0.61</v>
      </c>
      <c r="G3" s="64">
        <v>0.183</v>
      </c>
      <c r="H3" s="20">
        <f t="shared" ref="H3:H6" si="0">D3*F3*(1+G3)*0.5*44/12</f>
        <v>7.9431020145169992E-2</v>
      </c>
    </row>
    <row r="4" spans="1:8" x14ac:dyDescent="0.25">
      <c r="A4" s="60">
        <v>7.0136719845886244</v>
      </c>
      <c r="B4" s="61">
        <v>30</v>
      </c>
      <c r="C4" s="62" t="s">
        <v>3</v>
      </c>
      <c r="D4" s="63">
        <v>7.2046912109986358E-2</v>
      </c>
      <c r="E4" s="65">
        <v>9.5317224174204004E-2</v>
      </c>
      <c r="F4" s="64">
        <v>0.61</v>
      </c>
      <c r="G4" s="64">
        <v>0.183</v>
      </c>
      <c r="H4" s="20">
        <f t="shared" si="0"/>
        <v>9.5317224174204004E-2</v>
      </c>
    </row>
    <row r="5" spans="1:8" x14ac:dyDescent="0.25">
      <c r="A5" s="60">
        <v>8.1826173153533954</v>
      </c>
      <c r="B5" s="61">
        <v>35</v>
      </c>
      <c r="C5" s="62" t="s">
        <v>3</v>
      </c>
      <c r="D5" s="63">
        <v>8.4054730794984087E-2</v>
      </c>
      <c r="E5" s="65">
        <v>0.111203428203238</v>
      </c>
      <c r="F5" s="64">
        <v>0.61</v>
      </c>
      <c r="G5" s="64">
        <v>0.183</v>
      </c>
      <c r="H5" s="20">
        <f t="shared" si="0"/>
        <v>0.11120342820323799</v>
      </c>
    </row>
    <row r="6" spans="1:8" x14ac:dyDescent="0.25">
      <c r="A6" s="60">
        <v>9.3515626461181647</v>
      </c>
      <c r="B6" s="61">
        <v>40</v>
      </c>
      <c r="C6" s="62" t="s">
        <v>3</v>
      </c>
      <c r="D6" s="63">
        <v>9.6062549479981815E-2</v>
      </c>
      <c r="E6" s="65">
        <v>0.12708963223227199</v>
      </c>
      <c r="F6" s="64">
        <v>0.61</v>
      </c>
      <c r="G6" s="64">
        <v>0.183</v>
      </c>
      <c r="H6" s="20">
        <f t="shared" si="0"/>
        <v>0.12708963223227202</v>
      </c>
    </row>
    <row r="7" spans="1:8" x14ac:dyDescent="0.25">
      <c r="A7" s="66">
        <v>9.6831875448755227</v>
      </c>
      <c r="B7" s="67">
        <v>20</v>
      </c>
      <c r="C7" s="68" t="s">
        <v>167</v>
      </c>
      <c r="D7" s="69">
        <v>0.16582986056660684</v>
      </c>
      <c r="E7" s="27">
        <v>0.21939097084791426</v>
      </c>
      <c r="F7" s="26">
        <v>0.61</v>
      </c>
      <c r="G7" s="26">
        <v>0.183</v>
      </c>
    </row>
    <row r="8" spans="1:8" x14ac:dyDescent="0.25">
      <c r="A8" s="66">
        <v>12.103984431094403</v>
      </c>
      <c r="B8" s="67">
        <v>25</v>
      </c>
      <c r="C8" s="68" t="s">
        <v>167</v>
      </c>
      <c r="D8" s="69">
        <v>0.20728732570825856</v>
      </c>
      <c r="E8" s="27">
        <v>0.27423871355989282</v>
      </c>
      <c r="F8" s="26">
        <v>0.61</v>
      </c>
      <c r="G8" s="26">
        <v>0.183</v>
      </c>
    </row>
    <row r="9" spans="1:8" x14ac:dyDescent="0.25">
      <c r="A9" s="66">
        <v>14.524781317313284</v>
      </c>
      <c r="B9" s="67">
        <v>30</v>
      </c>
      <c r="C9" s="68" t="s">
        <v>167</v>
      </c>
      <c r="D9" s="69">
        <v>0.24874479084991025</v>
      </c>
      <c r="E9" s="27">
        <v>0.32908645627187133</v>
      </c>
      <c r="F9" s="26">
        <v>0.61</v>
      </c>
      <c r="G9" s="26">
        <v>0.183</v>
      </c>
    </row>
    <row r="10" spans="1:8" x14ac:dyDescent="0.25">
      <c r="A10" s="66">
        <v>16.945578203532165</v>
      </c>
      <c r="B10" s="67">
        <v>35</v>
      </c>
      <c r="C10" s="68" t="s">
        <v>167</v>
      </c>
      <c r="D10" s="69">
        <v>0.29020225599156196</v>
      </c>
      <c r="E10" s="27">
        <v>0.38393419898384989</v>
      </c>
      <c r="F10" s="26">
        <v>0.61</v>
      </c>
      <c r="G10" s="26">
        <v>0.183</v>
      </c>
    </row>
    <row r="11" spans="1:8" x14ac:dyDescent="0.25">
      <c r="A11" s="66">
        <v>19.366375089751045</v>
      </c>
      <c r="B11" s="67">
        <v>40</v>
      </c>
      <c r="C11" s="68" t="s">
        <v>167</v>
      </c>
      <c r="D11" s="69">
        <v>0.33165972113321368</v>
      </c>
      <c r="E11" s="27">
        <v>0.43878194169582851</v>
      </c>
      <c r="F11" s="26">
        <v>0.61</v>
      </c>
      <c r="G11" s="26">
        <v>0.183</v>
      </c>
    </row>
    <row r="12" spans="1:8" x14ac:dyDescent="0.25">
      <c r="A12" s="60">
        <v>3.2433940172353957</v>
      </c>
      <c r="B12" s="61">
        <v>20</v>
      </c>
      <c r="C12" s="62" t="s">
        <v>4</v>
      </c>
      <c r="D12" s="63">
        <v>1.3848916202570057E-2</v>
      </c>
      <c r="E12" s="65">
        <v>3.0548862620709202E-2</v>
      </c>
      <c r="F12" s="64">
        <v>0.8</v>
      </c>
      <c r="G12" s="64">
        <v>0.504</v>
      </c>
    </row>
    <row r="13" spans="1:8" x14ac:dyDescent="0.25">
      <c r="A13" s="60">
        <v>4.0542425215442446</v>
      </c>
      <c r="B13" s="61">
        <v>25</v>
      </c>
      <c r="C13" s="62" t="s">
        <v>4</v>
      </c>
      <c r="D13" s="63">
        <v>1.7311145253212572E-2</v>
      </c>
      <c r="E13" s="65">
        <v>3.8186078275886506E-2</v>
      </c>
      <c r="F13" s="64">
        <v>0.8</v>
      </c>
      <c r="G13" s="64">
        <v>0.504</v>
      </c>
    </row>
    <row r="14" spans="1:8" x14ac:dyDescent="0.25">
      <c r="A14" s="60">
        <v>4.8650910258530935</v>
      </c>
      <c r="B14" s="61">
        <v>30</v>
      </c>
      <c r="C14" s="62" t="s">
        <v>4</v>
      </c>
      <c r="D14" s="63">
        <v>2.0773374303855088E-2</v>
      </c>
      <c r="E14" s="65">
        <v>4.582329393106381E-2</v>
      </c>
      <c r="F14" s="64">
        <v>0.8</v>
      </c>
      <c r="G14" s="64">
        <v>0.504</v>
      </c>
    </row>
    <row r="15" spans="1:8" x14ac:dyDescent="0.25">
      <c r="A15" s="60">
        <v>5.6759395301619424</v>
      </c>
      <c r="B15" s="61">
        <v>35</v>
      </c>
      <c r="C15" s="62" t="s">
        <v>4</v>
      </c>
      <c r="D15" s="63">
        <v>2.4235603354497599E-2</v>
      </c>
      <c r="E15" s="65">
        <v>5.3460509586241108E-2</v>
      </c>
      <c r="F15" s="64">
        <v>0.8</v>
      </c>
      <c r="G15" s="64">
        <v>0.504</v>
      </c>
    </row>
    <row r="16" spans="1:8" x14ac:dyDescent="0.25">
      <c r="A16" s="60">
        <v>6.4867880344707913</v>
      </c>
      <c r="B16" s="61">
        <v>40</v>
      </c>
      <c r="C16" s="62" t="s">
        <v>4</v>
      </c>
      <c r="D16" s="63">
        <v>2.7697832405140115E-2</v>
      </c>
      <c r="E16" s="65">
        <v>6.1097725241418405E-2</v>
      </c>
      <c r="F16" s="64">
        <v>0.8</v>
      </c>
      <c r="G16" s="64">
        <v>0.504</v>
      </c>
    </row>
    <row r="17" spans="1:7" x14ac:dyDescent="0.25">
      <c r="A17" s="66">
        <v>10.356416058658741</v>
      </c>
      <c r="B17" s="67">
        <v>20</v>
      </c>
      <c r="C17" s="68" t="s">
        <v>141</v>
      </c>
      <c r="D17" s="69">
        <v>5.0088755536270436E-2</v>
      </c>
      <c r="E17" s="27">
        <v>0.14975536130234138</v>
      </c>
      <c r="F17" s="26">
        <v>0.9</v>
      </c>
      <c r="G17" s="26">
        <v>0.81200000000000006</v>
      </c>
    </row>
    <row r="18" spans="1:7" x14ac:dyDescent="0.25">
      <c r="A18" s="66">
        <v>12.945520073323427</v>
      </c>
      <c r="B18" s="67">
        <v>25</v>
      </c>
      <c r="C18" s="68" t="s">
        <v>141</v>
      </c>
      <c r="D18" s="69">
        <v>6.2610944420338044E-2</v>
      </c>
      <c r="E18" s="27">
        <v>0.18719420162792669</v>
      </c>
      <c r="F18" s="26">
        <v>0.9</v>
      </c>
      <c r="G18" s="26">
        <v>0.81200000000000006</v>
      </c>
    </row>
    <row r="19" spans="1:7" x14ac:dyDescent="0.25">
      <c r="A19" s="66">
        <v>15.534624087988112</v>
      </c>
      <c r="B19" s="67">
        <v>30</v>
      </c>
      <c r="C19" s="68" t="s">
        <v>141</v>
      </c>
      <c r="D19" s="69">
        <v>7.5133133304405658E-2</v>
      </c>
      <c r="E19" s="27">
        <v>0.22463304195351205</v>
      </c>
      <c r="F19" s="26">
        <v>0.9</v>
      </c>
      <c r="G19" s="26">
        <v>0.81200000000000006</v>
      </c>
    </row>
    <row r="20" spans="1:7" x14ac:dyDescent="0.25">
      <c r="A20" s="66">
        <v>18.123728102652798</v>
      </c>
      <c r="B20" s="67">
        <v>35</v>
      </c>
      <c r="C20" s="68" t="s">
        <v>141</v>
      </c>
      <c r="D20" s="69">
        <v>8.7655322188473273E-2</v>
      </c>
      <c r="E20" s="27">
        <v>0.26207188227909739</v>
      </c>
      <c r="F20" s="26">
        <v>0.9</v>
      </c>
      <c r="G20" s="26">
        <v>0.81200000000000006</v>
      </c>
    </row>
    <row r="21" spans="1:7" x14ac:dyDescent="0.25">
      <c r="A21" s="66">
        <v>20.712832117317483</v>
      </c>
      <c r="B21" s="67">
        <v>40</v>
      </c>
      <c r="C21" s="68" t="s">
        <v>141</v>
      </c>
      <c r="D21" s="69">
        <v>0.10017751107254087</v>
      </c>
      <c r="E21" s="27">
        <v>0.29951072260468276</v>
      </c>
      <c r="F21" s="26">
        <v>0.9</v>
      </c>
      <c r="G21" s="26">
        <v>0.81200000000000006</v>
      </c>
    </row>
    <row r="22" spans="1:7" x14ac:dyDescent="0.25">
      <c r="A22" s="60">
        <v>10.060868252930229</v>
      </c>
      <c r="B22" s="61">
        <v>20</v>
      </c>
      <c r="C22" s="62" t="s">
        <v>0</v>
      </c>
      <c r="D22" s="63">
        <v>3.1447806237851809E-2</v>
      </c>
      <c r="E22" s="65">
        <v>6.4771159639729098E-2</v>
      </c>
      <c r="F22" s="64">
        <v>0.62</v>
      </c>
      <c r="G22" s="64">
        <v>0.81200000000000006</v>
      </c>
    </row>
    <row r="23" spans="1:7" x14ac:dyDescent="0.25">
      <c r="A23" s="60">
        <v>12.576085316162786</v>
      </c>
      <c r="B23" s="61">
        <v>25</v>
      </c>
      <c r="C23" s="62" t="s">
        <v>0</v>
      </c>
      <c r="D23" s="63">
        <v>3.9309757797314764E-2</v>
      </c>
      <c r="E23" s="65">
        <v>8.0963949549661379E-2</v>
      </c>
      <c r="F23" s="64">
        <v>0.62</v>
      </c>
      <c r="G23" s="64">
        <v>0.81200000000000006</v>
      </c>
    </row>
    <row r="24" spans="1:7" x14ac:dyDescent="0.25">
      <c r="A24" s="60">
        <v>15.091302379395342</v>
      </c>
      <c r="B24" s="61">
        <v>30</v>
      </c>
      <c r="C24" s="62" t="s">
        <v>0</v>
      </c>
      <c r="D24" s="63">
        <v>4.7171709356777711E-2</v>
      </c>
      <c r="E24" s="65">
        <v>9.7156739459593647E-2</v>
      </c>
      <c r="F24" s="64">
        <v>0.62</v>
      </c>
      <c r="G24" s="64">
        <v>0.81200000000000006</v>
      </c>
    </row>
    <row r="25" spans="1:7" x14ac:dyDescent="0.25">
      <c r="A25" s="60">
        <v>17.606519442627899</v>
      </c>
      <c r="B25" s="61">
        <v>35</v>
      </c>
      <c r="C25" s="62" t="s">
        <v>0</v>
      </c>
      <c r="D25" s="63">
        <v>5.5033660916240665E-2</v>
      </c>
      <c r="E25" s="65">
        <v>0.11334952936952593</v>
      </c>
      <c r="F25" s="64">
        <v>0.62</v>
      </c>
      <c r="G25" s="64">
        <v>0.81200000000000006</v>
      </c>
    </row>
    <row r="26" spans="1:7" x14ac:dyDescent="0.25">
      <c r="A26" s="60">
        <v>20.121736505860458</v>
      </c>
      <c r="B26" s="61">
        <v>40</v>
      </c>
      <c r="C26" s="62" t="s">
        <v>0</v>
      </c>
      <c r="D26" s="63">
        <v>6.2895612475703619E-2</v>
      </c>
      <c r="E26" s="65">
        <v>0.1295423192794582</v>
      </c>
      <c r="F26" s="64">
        <v>0.62</v>
      </c>
      <c r="G26" s="64">
        <v>0.81200000000000006</v>
      </c>
    </row>
    <row r="27" spans="1:7" x14ac:dyDescent="0.25">
      <c r="A27" s="66">
        <v>10.060868252930229</v>
      </c>
      <c r="B27" s="67">
        <v>20</v>
      </c>
      <c r="C27" s="68" t="s">
        <v>187</v>
      </c>
      <c r="D27" s="69">
        <v>3.0717644461124231E-2</v>
      </c>
      <c r="E27" s="27">
        <v>5.9604517312365456E-2</v>
      </c>
      <c r="F27" s="26">
        <v>0.8</v>
      </c>
      <c r="G27" s="26">
        <v>0.32300000000000001</v>
      </c>
    </row>
    <row r="28" spans="1:7" x14ac:dyDescent="0.25">
      <c r="A28" s="66">
        <v>12.576085316162786</v>
      </c>
      <c r="B28" s="67">
        <v>25</v>
      </c>
      <c r="C28" s="68" t="s">
        <v>187</v>
      </c>
      <c r="D28" s="69">
        <v>3.8397055576405291E-2</v>
      </c>
      <c r="E28" s="27">
        <v>7.4505646640456821E-2</v>
      </c>
      <c r="F28" s="26">
        <v>0.8</v>
      </c>
      <c r="G28" s="26">
        <v>0.32300000000000001</v>
      </c>
    </row>
    <row r="29" spans="1:7" x14ac:dyDescent="0.25">
      <c r="A29" s="66">
        <v>15.091302379395342</v>
      </c>
      <c r="B29" s="67">
        <v>30</v>
      </c>
      <c r="C29" s="68" t="s">
        <v>187</v>
      </c>
      <c r="D29" s="69">
        <v>4.6076466691686351E-2</v>
      </c>
      <c r="E29" s="27">
        <v>8.9406775968548208E-2</v>
      </c>
      <c r="F29" s="26">
        <v>0.8</v>
      </c>
      <c r="G29" s="26">
        <v>0.32300000000000001</v>
      </c>
    </row>
    <row r="30" spans="1:7" x14ac:dyDescent="0.25">
      <c r="A30" s="66">
        <v>17.606519442627899</v>
      </c>
      <c r="B30" s="67">
        <v>35</v>
      </c>
      <c r="C30" s="68" t="s">
        <v>187</v>
      </c>
      <c r="D30" s="69">
        <v>5.375587780696741E-2</v>
      </c>
      <c r="E30" s="27">
        <v>0.10430790529663955</v>
      </c>
      <c r="F30" s="26">
        <v>0.8</v>
      </c>
      <c r="G30" s="26">
        <v>0.32300000000000001</v>
      </c>
    </row>
    <row r="31" spans="1:7" x14ac:dyDescent="0.25">
      <c r="A31" s="66">
        <v>20.121736505860458</v>
      </c>
      <c r="B31" s="67">
        <v>40</v>
      </c>
      <c r="C31" s="68" t="s">
        <v>187</v>
      </c>
      <c r="D31" s="69">
        <v>6.1435288922248463E-2</v>
      </c>
      <c r="E31" s="27">
        <v>0.11920903462473091</v>
      </c>
      <c r="F31" s="26">
        <v>0.8</v>
      </c>
      <c r="G31" s="26">
        <v>0.32300000000000001</v>
      </c>
    </row>
    <row r="32" spans="1:7" x14ac:dyDescent="0.25">
      <c r="A32" s="60">
        <v>9.5838225076071595</v>
      </c>
      <c r="B32" s="61">
        <v>20</v>
      </c>
      <c r="C32" s="62" t="s">
        <v>2</v>
      </c>
      <c r="D32" s="63">
        <v>3.0940271672411278E-2</v>
      </c>
      <c r="E32" s="65">
        <v>6.2278228970051946E-2</v>
      </c>
      <c r="F32" s="64">
        <v>0.73</v>
      </c>
      <c r="G32" s="64">
        <v>0.504</v>
      </c>
    </row>
    <row r="33" spans="1:8" x14ac:dyDescent="0.25">
      <c r="A33" s="60">
        <v>11.979778134508951</v>
      </c>
      <c r="B33" s="61">
        <v>25</v>
      </c>
      <c r="C33" s="62" t="s">
        <v>2</v>
      </c>
      <c r="D33" s="63">
        <v>3.8675339590514099E-2</v>
      </c>
      <c r="E33" s="65">
        <v>7.784778621256494E-2</v>
      </c>
      <c r="F33" s="64">
        <v>0.73</v>
      </c>
      <c r="G33" s="64">
        <v>0.504</v>
      </c>
    </row>
    <row r="34" spans="1:8" x14ac:dyDescent="0.25">
      <c r="A34" s="60">
        <v>14.375733761410741</v>
      </c>
      <c r="B34" s="61">
        <v>30</v>
      </c>
      <c r="C34" s="62" t="s">
        <v>2</v>
      </c>
      <c r="D34" s="63">
        <v>4.6410407508616913E-2</v>
      </c>
      <c r="E34" s="65">
        <v>9.3417343455077906E-2</v>
      </c>
      <c r="F34" s="64">
        <v>0.73</v>
      </c>
      <c r="G34" s="64">
        <v>0.504</v>
      </c>
    </row>
    <row r="35" spans="1:8" x14ac:dyDescent="0.25">
      <c r="A35" s="60">
        <v>16.771689388312531</v>
      </c>
      <c r="B35" s="61">
        <v>35</v>
      </c>
      <c r="C35" s="62" t="s">
        <v>2</v>
      </c>
      <c r="D35" s="63">
        <v>5.4145475426719734E-2</v>
      </c>
      <c r="E35" s="65">
        <v>0.1089869006975909</v>
      </c>
      <c r="F35" s="64">
        <v>0.73</v>
      </c>
      <c r="G35" s="64">
        <v>0.504</v>
      </c>
    </row>
    <row r="36" spans="1:8" x14ac:dyDescent="0.25">
      <c r="A36" s="60">
        <v>19.167645015214319</v>
      </c>
      <c r="B36" s="61">
        <v>40</v>
      </c>
      <c r="C36" s="62" t="s">
        <v>2</v>
      </c>
      <c r="D36" s="63">
        <v>6.1880543344822556E-2</v>
      </c>
      <c r="E36" s="65">
        <v>0.12455645794010389</v>
      </c>
      <c r="F36" s="64">
        <v>0.73</v>
      </c>
      <c r="G36" s="64">
        <v>0.504</v>
      </c>
    </row>
    <row r="37" spans="1:8" x14ac:dyDescent="0.25">
      <c r="A37" s="66">
        <v>12.029713392078435</v>
      </c>
      <c r="B37" s="67">
        <v>20</v>
      </c>
      <c r="C37" s="68" t="s">
        <v>10</v>
      </c>
      <c r="D37" s="69">
        <v>5.1085313145785793E-2</v>
      </c>
      <c r="E37" s="27">
        <v>0.1241181539518298</v>
      </c>
      <c r="F37" s="26">
        <v>0.75</v>
      </c>
      <c r="G37" s="26">
        <v>0.76700000000000002</v>
      </c>
      <c r="H37" s="20">
        <f>D37*F37*(1+G37)*0.5</f>
        <v>3.3850405623226311E-2</v>
      </c>
    </row>
    <row r="38" spans="1:8" x14ac:dyDescent="0.25">
      <c r="A38" s="66">
        <v>15.037141740098042</v>
      </c>
      <c r="B38" s="67">
        <v>25</v>
      </c>
      <c r="C38" s="68" t="s">
        <v>10</v>
      </c>
      <c r="D38" s="69">
        <v>6.3856641432232242E-2</v>
      </c>
      <c r="E38" s="27">
        <v>0.15514769243978724</v>
      </c>
      <c r="F38" s="26">
        <v>0.75</v>
      </c>
      <c r="G38" s="26">
        <v>0.76700000000000002</v>
      </c>
      <c r="H38" s="20">
        <f t="shared" ref="H38:H41" si="1">D38*F38*(1+G38)*0.5</f>
        <v>4.2313007029032887E-2</v>
      </c>
    </row>
    <row r="39" spans="1:8" x14ac:dyDescent="0.25">
      <c r="A39" s="66">
        <v>18.044570088117652</v>
      </c>
      <c r="B39" s="67">
        <v>30</v>
      </c>
      <c r="C39" s="68" t="s">
        <v>10</v>
      </c>
      <c r="D39" s="69">
        <v>7.662796971867869E-2</v>
      </c>
      <c r="E39" s="27">
        <v>0.18617723092774471</v>
      </c>
      <c r="F39" s="26">
        <v>0.75</v>
      </c>
      <c r="G39" s="26">
        <v>0.76700000000000002</v>
      </c>
      <c r="H39" s="20">
        <f t="shared" si="1"/>
        <v>5.0775608434839463E-2</v>
      </c>
    </row>
    <row r="40" spans="1:8" x14ac:dyDescent="0.25">
      <c r="A40" s="66">
        <v>21.051998436137261</v>
      </c>
      <c r="B40" s="67">
        <v>35</v>
      </c>
      <c r="C40" s="68" t="s">
        <v>10</v>
      </c>
      <c r="D40" s="69">
        <v>8.9399298005125138E-2</v>
      </c>
      <c r="E40" s="27">
        <v>0.21720676941570213</v>
      </c>
      <c r="F40" s="26">
        <v>0.75</v>
      </c>
      <c r="G40" s="26">
        <v>0.76700000000000002</v>
      </c>
      <c r="H40" s="20">
        <f t="shared" si="1"/>
        <v>5.9238209840646039E-2</v>
      </c>
    </row>
    <row r="41" spans="1:8" x14ac:dyDescent="0.25">
      <c r="A41" s="66">
        <v>24.059426784156869</v>
      </c>
      <c r="B41" s="67">
        <v>40</v>
      </c>
      <c r="C41" s="68" t="s">
        <v>10</v>
      </c>
      <c r="D41" s="69">
        <v>0.10217062629157159</v>
      </c>
      <c r="E41" s="27">
        <v>0.24823630790365961</v>
      </c>
      <c r="F41" s="26">
        <v>0.75</v>
      </c>
      <c r="G41" s="26">
        <v>0.76700000000000002</v>
      </c>
      <c r="H41" s="20">
        <f t="shared" si="1"/>
        <v>6.7700811246452622E-2</v>
      </c>
    </row>
    <row r="42" spans="1:8" x14ac:dyDescent="0.25">
      <c r="A42" s="60">
        <v>7.0852640677918064</v>
      </c>
      <c r="B42" s="61">
        <v>20</v>
      </c>
      <c r="C42" s="62" t="s">
        <v>157</v>
      </c>
      <c r="D42" s="63">
        <v>1.4595690686994803E-2</v>
      </c>
      <c r="E42" s="65">
        <v>6.1960458449175387E-2</v>
      </c>
      <c r="F42" s="64">
        <v>1.28</v>
      </c>
      <c r="G42" s="64">
        <v>0.80900000000000005</v>
      </c>
    </row>
    <row r="43" spans="1:8" x14ac:dyDescent="0.25">
      <c r="A43" s="60">
        <v>8.8565800847397576</v>
      </c>
      <c r="B43" s="61">
        <v>25</v>
      </c>
      <c r="C43" s="62" t="s">
        <v>157</v>
      </c>
      <c r="D43" s="63">
        <v>1.8244613358743503E-2</v>
      </c>
      <c r="E43" s="65">
        <v>7.7450573061469213E-2</v>
      </c>
      <c r="F43" s="64">
        <v>1.28</v>
      </c>
      <c r="G43" s="64">
        <v>0.80900000000000005</v>
      </c>
    </row>
    <row r="44" spans="1:8" x14ac:dyDescent="0.25">
      <c r="A44" s="60">
        <v>10.62789610168771</v>
      </c>
      <c r="B44" s="61">
        <v>30</v>
      </c>
      <c r="C44" s="62" t="s">
        <v>157</v>
      </c>
      <c r="D44" s="63">
        <v>2.1893536030492204E-2</v>
      </c>
      <c r="E44" s="65">
        <v>9.2940687673763067E-2</v>
      </c>
      <c r="F44" s="64">
        <v>1.28</v>
      </c>
      <c r="G44" s="64">
        <v>0.80900000000000005</v>
      </c>
    </row>
    <row r="45" spans="1:8" x14ac:dyDescent="0.25">
      <c r="A45" s="60">
        <v>12.399212118635662</v>
      </c>
      <c r="B45" s="61">
        <v>35</v>
      </c>
      <c r="C45" s="62" t="s">
        <v>157</v>
      </c>
      <c r="D45" s="63">
        <v>2.5542458702240905E-2</v>
      </c>
      <c r="E45" s="65">
        <v>0.10843080228605692</v>
      </c>
      <c r="F45" s="64">
        <v>1.28</v>
      </c>
      <c r="G45" s="64">
        <v>0.80900000000000005</v>
      </c>
    </row>
    <row r="46" spans="1:8" x14ac:dyDescent="0.25">
      <c r="A46" s="60">
        <v>14.170528135583613</v>
      </c>
      <c r="B46" s="61">
        <v>40</v>
      </c>
      <c r="C46" s="62" t="s">
        <v>157</v>
      </c>
      <c r="D46" s="63">
        <v>2.9191381373989606E-2</v>
      </c>
      <c r="E46" s="65">
        <v>0.12392091689835077</v>
      </c>
      <c r="F46" s="64">
        <v>1.28</v>
      </c>
      <c r="G46" s="64">
        <v>0.80900000000000005</v>
      </c>
    </row>
    <row r="47" spans="1:8" x14ac:dyDescent="0.25">
      <c r="A47" s="66">
        <v>3.2433940172353957</v>
      </c>
      <c r="B47" s="67">
        <v>20</v>
      </c>
      <c r="C47" s="68" t="s">
        <v>13</v>
      </c>
      <c r="D47" s="69">
        <v>7.0330285525162482E-3</v>
      </c>
      <c r="E47" s="27">
        <v>7.2902029632532592E-3</v>
      </c>
      <c r="F47" s="26">
        <v>0.44</v>
      </c>
      <c r="G47" s="26">
        <v>0.28499999999999998</v>
      </c>
    </row>
    <row r="48" spans="1:8" x14ac:dyDescent="0.25">
      <c r="A48" s="66">
        <v>4.0542425215442446</v>
      </c>
      <c r="B48" s="67">
        <v>25</v>
      </c>
      <c r="C48" s="68" t="s">
        <v>13</v>
      </c>
      <c r="D48" s="69">
        <v>8.7912856906453094E-3</v>
      </c>
      <c r="E48" s="27">
        <v>9.1127537040665719E-3</v>
      </c>
      <c r="F48" s="26">
        <v>0.44</v>
      </c>
      <c r="G48" s="26">
        <v>0.28499999999999998</v>
      </c>
    </row>
    <row r="49" spans="1:7" x14ac:dyDescent="0.25">
      <c r="A49" s="66">
        <v>4.8650910258530935</v>
      </c>
      <c r="B49" s="67">
        <v>30</v>
      </c>
      <c r="C49" s="68" t="s">
        <v>13</v>
      </c>
      <c r="D49" s="69">
        <v>1.0549542828774372E-2</v>
      </c>
      <c r="E49" s="27">
        <v>1.0935304444879886E-2</v>
      </c>
      <c r="F49" s="26">
        <v>0.44</v>
      </c>
      <c r="G49" s="26">
        <v>0.28499999999999998</v>
      </c>
    </row>
    <row r="50" spans="1:7" x14ac:dyDescent="0.25">
      <c r="A50" s="66">
        <v>5.6759395301619424</v>
      </c>
      <c r="B50" s="67">
        <v>35</v>
      </c>
      <c r="C50" s="68" t="s">
        <v>13</v>
      </c>
      <c r="D50" s="69">
        <v>1.2307799966903434E-2</v>
      </c>
      <c r="E50" s="27">
        <v>1.2757855185693201E-2</v>
      </c>
      <c r="F50" s="26">
        <v>0.44</v>
      </c>
      <c r="G50" s="26">
        <v>0.28499999999999998</v>
      </c>
    </row>
    <row r="51" spans="1:7" x14ac:dyDescent="0.25">
      <c r="A51" s="66">
        <v>6.4867880344707913</v>
      </c>
      <c r="B51" s="67">
        <v>40</v>
      </c>
      <c r="C51" s="68" t="s">
        <v>13</v>
      </c>
      <c r="D51" s="69">
        <v>1.4066057105032496E-2</v>
      </c>
      <c r="E51" s="27">
        <v>1.4580405926506518E-2</v>
      </c>
      <c r="F51" s="26">
        <v>0.44</v>
      </c>
      <c r="G51" s="26">
        <v>0.28499999999999998</v>
      </c>
    </row>
    <row r="52" spans="1:7" x14ac:dyDescent="0.25">
      <c r="A52" s="60">
        <v>9.5838225076071595</v>
      </c>
      <c r="B52" s="61">
        <v>20</v>
      </c>
      <c r="C52" s="62" t="s">
        <v>15</v>
      </c>
      <c r="D52" s="63">
        <v>3.5519916783877857E-2</v>
      </c>
      <c r="E52" s="65">
        <v>7.8352200436330038E-2</v>
      </c>
      <c r="F52" s="64">
        <v>0.8</v>
      </c>
      <c r="G52" s="64">
        <v>0.504</v>
      </c>
    </row>
    <row r="53" spans="1:7" x14ac:dyDescent="0.25">
      <c r="A53" s="60">
        <v>11.979778134508951</v>
      </c>
      <c r="B53" s="61">
        <v>25</v>
      </c>
      <c r="C53" s="62" t="s">
        <v>15</v>
      </c>
      <c r="D53" s="63">
        <v>4.4399895979847323E-2</v>
      </c>
      <c r="E53" s="65">
        <v>9.7940250545412541E-2</v>
      </c>
      <c r="F53" s="64">
        <v>0.8</v>
      </c>
      <c r="G53" s="64">
        <v>0.504</v>
      </c>
    </row>
    <row r="54" spans="1:7" x14ac:dyDescent="0.25">
      <c r="A54" s="60">
        <v>14.375733761410741</v>
      </c>
      <c r="B54" s="61">
        <v>30</v>
      </c>
      <c r="C54" s="62" t="s">
        <v>15</v>
      </c>
      <c r="D54" s="63">
        <v>5.3279875175816782E-2</v>
      </c>
      <c r="E54" s="65">
        <v>0.11752830065449504</v>
      </c>
      <c r="F54" s="64">
        <v>0.8</v>
      </c>
      <c r="G54" s="64">
        <v>0.504</v>
      </c>
    </row>
    <row r="55" spans="1:7" x14ac:dyDescent="0.25">
      <c r="A55" s="60">
        <v>16.771689388312531</v>
      </c>
      <c r="B55" s="61">
        <v>35</v>
      </c>
      <c r="C55" s="62" t="s">
        <v>15</v>
      </c>
      <c r="D55" s="63">
        <v>6.2159854371786248E-2</v>
      </c>
      <c r="E55" s="65">
        <v>0.13711635076357756</v>
      </c>
      <c r="F55" s="64">
        <v>0.8</v>
      </c>
      <c r="G55" s="64">
        <v>0.504</v>
      </c>
    </row>
    <row r="56" spans="1:7" x14ac:dyDescent="0.25">
      <c r="A56" s="60">
        <v>19.167645015214319</v>
      </c>
      <c r="B56" s="61">
        <v>40</v>
      </c>
      <c r="C56" s="62" t="s">
        <v>15</v>
      </c>
      <c r="D56" s="63">
        <v>7.1039833567755714E-2</v>
      </c>
      <c r="E56" s="65">
        <v>0.15670440087266008</v>
      </c>
      <c r="F56" s="64">
        <v>0.8</v>
      </c>
      <c r="G56" s="64">
        <v>0.504</v>
      </c>
    </row>
    <row r="57" spans="1:7" x14ac:dyDescent="0.25">
      <c r="A57" s="66">
        <v>21.77949351787824</v>
      </c>
      <c r="B57" s="67">
        <v>20</v>
      </c>
      <c r="C57" s="68" t="s">
        <v>17</v>
      </c>
      <c r="D57" s="69">
        <v>0.13780596631208833</v>
      </c>
      <c r="E57" s="27">
        <v>0.26739869703197616</v>
      </c>
      <c r="F57" s="26">
        <v>0.8</v>
      </c>
      <c r="G57" s="26">
        <v>0.32300000000000001</v>
      </c>
    </row>
    <row r="58" spans="1:7" x14ac:dyDescent="0.25">
      <c r="A58" s="66">
        <v>22.899854356926291</v>
      </c>
      <c r="B58" s="67">
        <v>25</v>
      </c>
      <c r="C58" s="68" t="s">
        <v>17</v>
      </c>
      <c r="D58" s="69">
        <v>0.23625044309191207</v>
      </c>
      <c r="E58" s="27">
        <v>0.45842035977554618</v>
      </c>
      <c r="F58" s="26">
        <v>0.8</v>
      </c>
      <c r="G58" s="26">
        <v>0.32300000000000001</v>
      </c>
    </row>
    <row r="59" spans="1:7" x14ac:dyDescent="0.25">
      <c r="A59" s="66">
        <v>32.716421072802603</v>
      </c>
      <c r="B59" s="67">
        <v>30</v>
      </c>
      <c r="C59" s="68" t="s">
        <v>17</v>
      </c>
      <c r="D59" s="69">
        <v>0.31672869557299338</v>
      </c>
      <c r="E59" s="27">
        <v>0.61458036088983636</v>
      </c>
      <c r="F59" s="26">
        <v>0.8</v>
      </c>
      <c r="G59" s="26">
        <v>0.32300000000000001</v>
      </c>
    </row>
    <row r="60" spans="1:7" x14ac:dyDescent="0.25">
      <c r="A60" s="66">
        <v>37.842747167200073</v>
      </c>
      <c r="B60" s="67">
        <v>35</v>
      </c>
      <c r="C60" s="68" t="s">
        <v>17</v>
      </c>
      <c r="D60" s="69">
        <v>0.46409651535326579</v>
      </c>
      <c r="E60" s="27">
        <v>0.900532878391477</v>
      </c>
      <c r="F60" s="26">
        <v>0.8</v>
      </c>
      <c r="G60" s="26">
        <v>0.32300000000000001</v>
      </c>
    </row>
    <row r="61" spans="1:7" x14ac:dyDescent="0.25">
      <c r="A61" s="66">
        <v>42.736691527154122</v>
      </c>
      <c r="B61" s="67">
        <v>40</v>
      </c>
      <c r="C61" s="68" t="s">
        <v>17</v>
      </c>
      <c r="D61" s="69">
        <v>0.54009296361673664</v>
      </c>
      <c r="E61" s="27">
        <v>1.0479963866019157</v>
      </c>
      <c r="F61" s="26">
        <v>0.8</v>
      </c>
      <c r="G61" s="26">
        <v>0.32300000000000001</v>
      </c>
    </row>
    <row r="62" spans="1:7" x14ac:dyDescent="0.25">
      <c r="A62" s="60">
        <v>10.060868252930229</v>
      </c>
      <c r="B62" s="61">
        <v>20</v>
      </c>
      <c r="C62" s="62" t="s">
        <v>21</v>
      </c>
      <c r="D62" s="63">
        <v>2.1782229937322616E-2</v>
      </c>
      <c r="E62" s="65">
        <v>4.2905184381875593E-2</v>
      </c>
      <c r="F62" s="64">
        <v>0.8</v>
      </c>
      <c r="G62" s="64">
        <v>0.34300000000000003</v>
      </c>
    </row>
    <row r="63" spans="1:7" x14ac:dyDescent="0.25">
      <c r="A63" s="60">
        <v>14.045022724846767</v>
      </c>
      <c r="B63" s="61">
        <v>25</v>
      </c>
      <c r="C63" s="62" t="s">
        <v>21</v>
      </c>
      <c r="D63" s="63">
        <v>5.6877202471395945E-2</v>
      </c>
      <c r="E63" s="65">
        <v>0.11203292161465764</v>
      </c>
      <c r="F63" s="64">
        <v>0.8</v>
      </c>
      <c r="G63" s="64">
        <v>0.34300000000000003</v>
      </c>
    </row>
    <row r="64" spans="1:7" x14ac:dyDescent="0.25">
      <c r="A64" s="60">
        <v>17.94172527630257</v>
      </c>
      <c r="B64" s="61">
        <v>30</v>
      </c>
      <c r="C64" s="62" t="s">
        <v>21</v>
      </c>
      <c r="D64" s="63">
        <v>0.10415920175927618</v>
      </c>
      <c r="E64" s="65">
        <v>0.20516585167863827</v>
      </c>
      <c r="F64" s="64">
        <v>0.8</v>
      </c>
      <c r="G64" s="64">
        <v>0.34300000000000003</v>
      </c>
    </row>
    <row r="65" spans="1:7" x14ac:dyDescent="0.25">
      <c r="A65" s="60">
        <v>21.818136481794323</v>
      </c>
      <c r="B65" s="61">
        <v>35</v>
      </c>
      <c r="C65" s="62" t="s">
        <v>21</v>
      </c>
      <c r="D65" s="63">
        <v>0.17662290093811014</v>
      </c>
      <c r="E65" s="65">
        <v>0.34790001540782683</v>
      </c>
      <c r="F65" s="64">
        <v>0.8</v>
      </c>
      <c r="G65" s="64">
        <v>0.34300000000000003</v>
      </c>
    </row>
    <row r="66" spans="1:7" x14ac:dyDescent="0.25">
      <c r="A66" s="60">
        <v>24.935013122050655</v>
      </c>
      <c r="B66" s="61">
        <v>40</v>
      </c>
      <c r="C66" s="62" t="s">
        <v>21</v>
      </c>
      <c r="D66" s="63">
        <v>0.20185474392926872</v>
      </c>
      <c r="E66" s="65">
        <v>0.39760001760894487</v>
      </c>
      <c r="F66" s="64">
        <v>0.8</v>
      </c>
      <c r="G66" s="64">
        <v>0.34300000000000003</v>
      </c>
    </row>
    <row r="67" spans="1:7" x14ac:dyDescent="0.25">
      <c r="A67" s="66">
        <v>20.022024226649311</v>
      </c>
      <c r="B67" s="67">
        <v>20</v>
      </c>
      <c r="C67" s="68" t="s">
        <v>22</v>
      </c>
      <c r="D67" s="69">
        <v>0.15392749325002175</v>
      </c>
      <c r="E67" s="27">
        <v>0.40481930196049593</v>
      </c>
      <c r="F67" s="26">
        <v>0.81</v>
      </c>
      <c r="G67" s="26">
        <v>0.77100000000000002</v>
      </c>
    </row>
    <row r="68" spans="1:7" x14ac:dyDescent="0.25">
      <c r="A68" s="66">
        <v>27.228864048097069</v>
      </c>
      <c r="B68" s="67">
        <v>25</v>
      </c>
      <c r="C68" s="68" t="s">
        <v>22</v>
      </c>
      <c r="D68" s="69">
        <v>0.37893651576316562</v>
      </c>
      <c r="E68" s="27">
        <v>0.99657840558360089</v>
      </c>
      <c r="F68" s="26">
        <v>0.81</v>
      </c>
      <c r="G68" s="26">
        <v>0.77100000000000002</v>
      </c>
    </row>
    <row r="69" spans="1:7" x14ac:dyDescent="0.25">
      <c r="A69" s="66">
        <v>33.630374954659047</v>
      </c>
      <c r="B69" s="67">
        <v>30</v>
      </c>
      <c r="C69" s="68" t="s">
        <v>22</v>
      </c>
      <c r="D69" s="69">
        <v>0.59538658646021636</v>
      </c>
      <c r="E69" s="27">
        <v>1.5658280222622489</v>
      </c>
      <c r="F69" s="26">
        <v>0.81</v>
      </c>
      <c r="G69" s="26">
        <v>0.77100000000000002</v>
      </c>
    </row>
    <row r="70" spans="1:7" x14ac:dyDescent="0.25">
      <c r="A70" s="66">
        <v>40.196618890113925</v>
      </c>
      <c r="B70" s="67">
        <v>35</v>
      </c>
      <c r="C70" s="68" t="s">
        <v>22</v>
      </c>
      <c r="D70" s="69">
        <v>0.84971838900000141</v>
      </c>
      <c r="E70" s="27">
        <v>2.2347041313747185</v>
      </c>
      <c r="F70" s="26">
        <v>0.81</v>
      </c>
      <c r="G70" s="26">
        <v>0.77100000000000002</v>
      </c>
    </row>
    <row r="71" spans="1:7" x14ac:dyDescent="0.25">
      <c r="A71" s="66">
        <v>47.810860236902812</v>
      </c>
      <c r="B71" s="67">
        <v>40</v>
      </c>
      <c r="C71" s="68" t="s">
        <v>22</v>
      </c>
      <c r="D71" s="69">
        <v>1.3428742516056231</v>
      </c>
      <c r="E71" s="27">
        <v>3.5316719948964348</v>
      </c>
      <c r="F71" s="26">
        <v>0.81</v>
      </c>
      <c r="G71" s="26">
        <v>0.77100000000000002</v>
      </c>
    </row>
    <row r="72" spans="1:7" x14ac:dyDescent="0.25">
      <c r="A72" s="60">
        <v>20.022024226649311</v>
      </c>
      <c r="B72" s="61">
        <v>20</v>
      </c>
      <c r="C72" s="62" t="s">
        <v>23</v>
      </c>
      <c r="D72" s="63">
        <v>0.21657651092854194</v>
      </c>
      <c r="E72" s="65">
        <v>0.56958214626885495</v>
      </c>
      <c r="F72" s="64">
        <v>0.81</v>
      </c>
      <c r="G72" s="64">
        <v>0.77100000000000002</v>
      </c>
    </row>
    <row r="73" spans="1:7" x14ac:dyDescent="0.25">
      <c r="A73" s="60">
        <v>27.228864048097069</v>
      </c>
      <c r="B73" s="61">
        <v>25</v>
      </c>
      <c r="C73" s="62" t="s">
        <v>23</v>
      </c>
      <c r="D73" s="63">
        <v>0.52885328240384577</v>
      </c>
      <c r="E73" s="65">
        <v>1.3908497572587581</v>
      </c>
      <c r="F73" s="64">
        <v>0.81</v>
      </c>
      <c r="G73" s="64">
        <v>0.77100000000000002</v>
      </c>
    </row>
    <row r="74" spans="1:7" x14ac:dyDescent="0.25">
      <c r="A74" s="60">
        <v>33.630374954659047</v>
      </c>
      <c r="B74" s="61">
        <v>30</v>
      </c>
      <c r="C74" s="62" t="s">
        <v>23</v>
      </c>
      <c r="D74" s="63">
        <v>0.77421299017539003</v>
      </c>
      <c r="E74" s="65">
        <v>2.0361298403169146</v>
      </c>
      <c r="F74" s="64">
        <v>0.81</v>
      </c>
      <c r="G74" s="64">
        <v>0.77100000000000002</v>
      </c>
    </row>
    <row r="75" spans="1:7" x14ac:dyDescent="0.25">
      <c r="A75" s="60">
        <v>40.196618890113925</v>
      </c>
      <c r="B75" s="61">
        <v>35</v>
      </c>
      <c r="C75" s="62" t="s">
        <v>23</v>
      </c>
      <c r="D75" s="63">
        <v>1.139698442797263</v>
      </c>
      <c r="E75" s="65">
        <v>2.9973328241580197</v>
      </c>
      <c r="F75" s="64">
        <v>0.81</v>
      </c>
      <c r="G75" s="64">
        <v>0.77100000000000002</v>
      </c>
    </row>
    <row r="76" spans="1:7" x14ac:dyDescent="0.25">
      <c r="A76" s="60">
        <v>47.810860236902812</v>
      </c>
      <c r="B76" s="61">
        <v>40</v>
      </c>
      <c r="C76" s="62" t="s">
        <v>23</v>
      </c>
      <c r="D76" s="63">
        <v>1.8531260035092387</v>
      </c>
      <c r="E76" s="65">
        <v>4.8736009360390691</v>
      </c>
      <c r="F76" s="64">
        <v>0.81</v>
      </c>
      <c r="G76" s="64">
        <v>0.77100000000000002</v>
      </c>
    </row>
    <row r="77" spans="1:7" x14ac:dyDescent="0.25">
      <c r="A77" s="66">
        <v>18.840019970421171</v>
      </c>
      <c r="B77" s="67">
        <v>20</v>
      </c>
      <c r="C77" s="68" t="s">
        <v>188</v>
      </c>
      <c r="D77" s="69">
        <v>0.19144568200497011</v>
      </c>
      <c r="E77" s="27">
        <v>0.38181065313502216</v>
      </c>
      <c r="F77" s="26">
        <v>0.81</v>
      </c>
      <c r="G77" s="26">
        <v>0.34300000000000003</v>
      </c>
    </row>
    <row r="78" spans="1:7" x14ac:dyDescent="0.25">
      <c r="A78" s="66">
        <v>24.32900601413029</v>
      </c>
      <c r="B78" s="67">
        <v>25</v>
      </c>
      <c r="C78" s="68" t="s">
        <v>188</v>
      </c>
      <c r="D78" s="69">
        <v>0.35061039839889774</v>
      </c>
      <c r="E78" s="27">
        <v>0.69924160109883371</v>
      </c>
      <c r="F78" s="26">
        <v>0.81</v>
      </c>
      <c r="G78" s="26">
        <v>0.34300000000000003</v>
      </c>
    </row>
    <row r="79" spans="1:7" x14ac:dyDescent="0.25">
      <c r="A79" s="66">
        <v>29.793728089195799</v>
      </c>
      <c r="B79" s="67">
        <v>30</v>
      </c>
      <c r="C79" s="68" t="s">
        <v>188</v>
      </c>
      <c r="D79" s="69">
        <v>0.55960474740730881</v>
      </c>
      <c r="E79" s="27">
        <v>1.1160505260155034</v>
      </c>
      <c r="F79" s="26">
        <v>0.81</v>
      </c>
      <c r="G79" s="26">
        <v>0.34300000000000003</v>
      </c>
    </row>
    <row r="80" spans="1:7" x14ac:dyDescent="0.25">
      <c r="A80" s="66">
        <v>35.215316506640598</v>
      </c>
      <c r="B80" s="67">
        <v>35</v>
      </c>
      <c r="C80" s="68" t="s">
        <v>188</v>
      </c>
      <c r="D80" s="69">
        <v>0.83186130602003538</v>
      </c>
      <c r="E80" s="27">
        <v>1.6590267549675877</v>
      </c>
      <c r="F80" s="26">
        <v>0.81</v>
      </c>
      <c r="G80" s="26">
        <v>0.34300000000000003</v>
      </c>
    </row>
    <row r="81" spans="1:7" x14ac:dyDescent="0.25">
      <c r="A81" s="66">
        <v>40.795142658347473</v>
      </c>
      <c r="B81" s="67">
        <v>40</v>
      </c>
      <c r="C81" s="68" t="s">
        <v>188</v>
      </c>
      <c r="D81" s="69">
        <v>1.4705175968764248</v>
      </c>
      <c r="E81" s="27">
        <v>2.9327341219184824</v>
      </c>
      <c r="F81" s="26">
        <v>0.81</v>
      </c>
      <c r="G81" s="26">
        <v>0.34300000000000003</v>
      </c>
    </row>
    <row r="82" spans="1:7" x14ac:dyDescent="0.25">
      <c r="A82" s="60">
        <v>20.022024226649311</v>
      </c>
      <c r="B82" s="61">
        <v>20</v>
      </c>
      <c r="C82" s="62" t="s">
        <v>158</v>
      </c>
      <c r="D82" s="63">
        <v>0.2243287881460265</v>
      </c>
      <c r="E82" s="65">
        <v>0.58997013145282018</v>
      </c>
      <c r="F82" s="64">
        <v>0.81</v>
      </c>
      <c r="G82" s="64">
        <v>0.77100000000000002</v>
      </c>
    </row>
    <row r="83" spans="1:7" x14ac:dyDescent="0.25">
      <c r="A83" s="60">
        <v>27.228864048097069</v>
      </c>
      <c r="B83" s="61">
        <v>25</v>
      </c>
      <c r="C83" s="62" t="s">
        <v>158</v>
      </c>
      <c r="D83" s="63">
        <v>0.47126434798353001</v>
      </c>
      <c r="E83" s="65">
        <v>1.239394603014065</v>
      </c>
      <c r="F83" s="64">
        <v>0.81</v>
      </c>
      <c r="G83" s="64">
        <v>0.77100000000000002</v>
      </c>
    </row>
    <row r="84" spans="1:7" x14ac:dyDescent="0.25">
      <c r="A84" s="60">
        <v>33.630374954659047</v>
      </c>
      <c r="B84" s="61">
        <v>30</v>
      </c>
      <c r="C84" s="62" t="s">
        <v>158</v>
      </c>
      <c r="D84" s="63">
        <v>0.67202531502833385</v>
      </c>
      <c r="E84" s="65">
        <v>1.767382896879041</v>
      </c>
      <c r="F84" s="64">
        <v>0.81</v>
      </c>
      <c r="G84" s="64">
        <v>0.77100000000000002</v>
      </c>
    </row>
    <row r="85" spans="1:7" x14ac:dyDescent="0.25">
      <c r="A85" s="60">
        <v>40.196618890113925</v>
      </c>
      <c r="B85" s="61">
        <v>35</v>
      </c>
      <c r="C85" s="62" t="s">
        <v>158</v>
      </c>
      <c r="D85" s="63">
        <v>1.0275434765356779</v>
      </c>
      <c r="E85" s="65">
        <v>2.7023725529628577</v>
      </c>
      <c r="F85" s="64">
        <v>0.81</v>
      </c>
      <c r="G85" s="64">
        <v>0.77100000000000002</v>
      </c>
    </row>
    <row r="86" spans="1:7" x14ac:dyDescent="0.25">
      <c r="A86" s="60">
        <v>47.810860236902812</v>
      </c>
      <c r="B86" s="61">
        <v>40</v>
      </c>
      <c r="C86" s="62" t="s">
        <v>158</v>
      </c>
      <c r="D86" s="63">
        <v>1.447554727950966</v>
      </c>
      <c r="E86" s="65">
        <v>3.8069748434537236</v>
      </c>
      <c r="F86" s="64">
        <v>0.81</v>
      </c>
      <c r="G86" s="64">
        <v>0.77100000000000002</v>
      </c>
    </row>
    <row r="87" spans="1:7" x14ac:dyDescent="0.25">
      <c r="A87" s="66">
        <v>5.2950676444891585</v>
      </c>
      <c r="B87" s="67">
        <v>20</v>
      </c>
      <c r="C87" s="68" t="s">
        <v>24</v>
      </c>
      <c r="D87" s="69">
        <v>2.6003723150912643E-2</v>
      </c>
      <c r="E87" s="27">
        <v>4.4909860086399439E-2</v>
      </c>
      <c r="F87" s="26">
        <v>0.81</v>
      </c>
      <c r="G87" s="26">
        <v>0.16300000000000001</v>
      </c>
    </row>
    <row r="88" spans="1:7" x14ac:dyDescent="0.25">
      <c r="A88" s="66">
        <v>6.6188345556114481</v>
      </c>
      <c r="B88" s="67">
        <v>25</v>
      </c>
      <c r="C88" s="68" t="s">
        <v>24</v>
      </c>
      <c r="D88" s="69">
        <v>3.2504653938640805E-2</v>
      </c>
      <c r="E88" s="27">
        <v>5.6137325107999299E-2</v>
      </c>
      <c r="F88" s="26">
        <v>0.81</v>
      </c>
      <c r="G88" s="26">
        <v>0.16300000000000001</v>
      </c>
    </row>
    <row r="89" spans="1:7" x14ac:dyDescent="0.25">
      <c r="A89" s="66">
        <v>7.9426014667337377</v>
      </c>
      <c r="B89" s="67">
        <v>30</v>
      </c>
      <c r="C89" s="68" t="s">
        <v>24</v>
      </c>
      <c r="D89" s="69">
        <v>3.9005584726368968E-2</v>
      </c>
      <c r="E89" s="27">
        <v>6.7364790129599159E-2</v>
      </c>
      <c r="F89" s="26">
        <v>0.81</v>
      </c>
      <c r="G89" s="26">
        <v>0.16300000000000001</v>
      </c>
    </row>
    <row r="90" spans="1:7" x14ac:dyDescent="0.25">
      <c r="A90" s="66">
        <v>9.2663683778560273</v>
      </c>
      <c r="B90" s="67">
        <v>35</v>
      </c>
      <c r="C90" s="68" t="s">
        <v>24</v>
      </c>
      <c r="D90" s="69">
        <v>4.5506515514097123E-2</v>
      </c>
      <c r="E90" s="27">
        <v>7.8592255151199011E-2</v>
      </c>
      <c r="F90" s="26">
        <v>0.81</v>
      </c>
      <c r="G90" s="26">
        <v>0.16300000000000001</v>
      </c>
    </row>
    <row r="91" spans="1:7" x14ac:dyDescent="0.25">
      <c r="A91" s="66">
        <v>10.590135288978317</v>
      </c>
      <c r="B91" s="67">
        <v>40</v>
      </c>
      <c r="C91" s="68" t="s">
        <v>24</v>
      </c>
      <c r="D91" s="69">
        <v>5.2007446301825286E-2</v>
      </c>
      <c r="E91" s="27">
        <v>8.9819720172798878E-2</v>
      </c>
      <c r="F91" s="26">
        <v>0.81</v>
      </c>
      <c r="G91" s="26">
        <v>0.16300000000000001</v>
      </c>
    </row>
    <row r="92" spans="1:7" x14ac:dyDescent="0.25">
      <c r="A92" s="60">
        <v>8.7528501468290614</v>
      </c>
      <c r="B92" s="61">
        <v>20</v>
      </c>
      <c r="C92" s="62" t="s">
        <v>1</v>
      </c>
      <c r="D92" s="63">
        <v>3.9761341679913867E-2</v>
      </c>
      <c r="E92" s="65">
        <v>9.0997276417428483E-2</v>
      </c>
      <c r="F92" s="64">
        <v>0.83</v>
      </c>
      <c r="G92" s="64">
        <v>0.504</v>
      </c>
    </row>
    <row r="93" spans="1:7" x14ac:dyDescent="0.25">
      <c r="A93" s="60">
        <v>11.888316400408007</v>
      </c>
      <c r="B93" s="61">
        <v>25</v>
      </c>
      <c r="C93" s="62" t="s">
        <v>1</v>
      </c>
      <c r="D93" s="63">
        <v>4.970167709989233E-2</v>
      </c>
      <c r="E93" s="65">
        <v>0.11374659552178558</v>
      </c>
      <c r="F93" s="64">
        <v>0.83</v>
      </c>
      <c r="G93" s="64">
        <v>0.504</v>
      </c>
    </row>
    <row r="94" spans="1:7" x14ac:dyDescent="0.25">
      <c r="A94" s="60">
        <v>14.265979680489608</v>
      </c>
      <c r="B94" s="61">
        <v>30</v>
      </c>
      <c r="C94" s="62" t="s">
        <v>1</v>
      </c>
      <c r="D94" s="63">
        <v>8.0707300439288143E-2</v>
      </c>
      <c r="E94" s="65">
        <v>0.18470565168801564</v>
      </c>
      <c r="F94" s="64">
        <v>0.83</v>
      </c>
      <c r="G94" s="64">
        <v>0.504</v>
      </c>
    </row>
    <row r="95" spans="1:7" x14ac:dyDescent="0.25">
      <c r="A95" s="60">
        <v>17.319530492270541</v>
      </c>
      <c r="B95" s="61">
        <v>35</v>
      </c>
      <c r="C95" s="62" t="s">
        <v>1</v>
      </c>
      <c r="D95" s="63">
        <v>0.12556522035551965</v>
      </c>
      <c r="E95" s="65">
        <v>0.28736688910270414</v>
      </c>
      <c r="F95" s="64">
        <v>0.83</v>
      </c>
      <c r="G95" s="64">
        <v>0.504</v>
      </c>
    </row>
    <row r="96" spans="1:7" x14ac:dyDescent="0.25">
      <c r="A96" s="60">
        <v>19.793749134023475</v>
      </c>
      <c r="B96" s="61">
        <v>40</v>
      </c>
      <c r="C96" s="62" t="s">
        <v>1</v>
      </c>
      <c r="D96" s="63">
        <v>0.14350310897773672</v>
      </c>
      <c r="E96" s="65">
        <v>0.32841930183166185</v>
      </c>
      <c r="F96" s="64">
        <v>0.83</v>
      </c>
      <c r="G96" s="64">
        <v>0.504</v>
      </c>
    </row>
    <row r="97" spans="1:7" x14ac:dyDescent="0.25">
      <c r="A97" s="66">
        <v>6.3861650121177487</v>
      </c>
      <c r="B97" s="67">
        <v>20</v>
      </c>
      <c r="C97" s="68" t="s">
        <v>25</v>
      </c>
      <c r="D97" s="69">
        <v>1.6425143721851405E-2</v>
      </c>
      <c r="E97" s="27">
        <v>3.1871348877880464E-2</v>
      </c>
      <c r="F97" s="26">
        <v>0.8</v>
      </c>
      <c r="G97" s="26">
        <v>0.32300000000000001</v>
      </c>
    </row>
    <row r="98" spans="1:7" x14ac:dyDescent="0.25">
      <c r="A98" s="66">
        <v>7.9827062651471854</v>
      </c>
      <c r="B98" s="67">
        <v>25</v>
      </c>
      <c r="C98" s="68" t="s">
        <v>25</v>
      </c>
      <c r="D98" s="69">
        <v>2.0531429652314255E-2</v>
      </c>
      <c r="E98" s="27">
        <v>3.9839186097350585E-2</v>
      </c>
      <c r="F98" s="26">
        <v>0.8</v>
      </c>
      <c r="G98" s="26">
        <v>0.32300000000000001</v>
      </c>
    </row>
    <row r="99" spans="1:7" x14ac:dyDescent="0.25">
      <c r="A99" s="66">
        <v>9.5792475181766221</v>
      </c>
      <c r="B99" s="67">
        <v>30</v>
      </c>
      <c r="C99" s="68" t="s">
        <v>25</v>
      </c>
      <c r="D99" s="69">
        <v>2.4637715582777105E-2</v>
      </c>
      <c r="E99" s="27">
        <v>4.7807023316820692E-2</v>
      </c>
      <c r="F99" s="26">
        <v>0.8</v>
      </c>
      <c r="G99" s="26">
        <v>0.32300000000000001</v>
      </c>
    </row>
    <row r="100" spans="1:7" x14ac:dyDescent="0.25">
      <c r="A100" s="66">
        <v>11.78625789679279</v>
      </c>
      <c r="B100" s="67">
        <v>35</v>
      </c>
      <c r="C100" s="68" t="s">
        <v>25</v>
      </c>
      <c r="D100" s="69">
        <v>4.3231905657951541E-2</v>
      </c>
      <c r="E100" s="27">
        <v>8.388718973868918E-2</v>
      </c>
      <c r="F100" s="26">
        <v>0.8</v>
      </c>
      <c r="G100" s="26">
        <v>0.32300000000000001</v>
      </c>
    </row>
    <row r="101" spans="1:7" x14ac:dyDescent="0.25">
      <c r="A101" s="66">
        <v>13.470009024906046</v>
      </c>
      <c r="B101" s="67">
        <v>40</v>
      </c>
      <c r="C101" s="68" t="s">
        <v>25</v>
      </c>
      <c r="D101" s="69">
        <v>4.9407892180516048E-2</v>
      </c>
      <c r="E101" s="27">
        <v>9.5871073987073341E-2</v>
      </c>
      <c r="F101" s="26">
        <v>0.8</v>
      </c>
      <c r="G101" s="26">
        <v>0.32300000000000001</v>
      </c>
    </row>
    <row r="102" spans="1:7" x14ac:dyDescent="0.25">
      <c r="A102" s="60">
        <v>6.3861650121177487</v>
      </c>
      <c r="B102" s="61">
        <v>20</v>
      </c>
      <c r="C102" s="62" t="s">
        <v>26</v>
      </c>
      <c r="D102" s="63">
        <v>1.8499049966165151E-2</v>
      </c>
      <c r="E102" s="65">
        <v>3.5895556554346862E-2</v>
      </c>
      <c r="F102" s="64">
        <v>0.8</v>
      </c>
      <c r="G102" s="64">
        <v>0.32300000000000001</v>
      </c>
    </row>
    <row r="103" spans="1:7" x14ac:dyDescent="0.25">
      <c r="A103" s="60">
        <v>7.9827062651471854</v>
      </c>
      <c r="B103" s="61">
        <v>25</v>
      </c>
      <c r="C103" s="62" t="s">
        <v>26</v>
      </c>
      <c r="D103" s="63">
        <v>2.3123812457706443E-2</v>
      </c>
      <c r="E103" s="65">
        <v>4.4869445692933579E-2</v>
      </c>
      <c r="F103" s="64">
        <v>0.8</v>
      </c>
      <c r="G103" s="64">
        <v>0.32300000000000001</v>
      </c>
    </row>
    <row r="104" spans="1:7" x14ac:dyDescent="0.25">
      <c r="A104" s="60">
        <v>9.5792475181766221</v>
      </c>
      <c r="B104" s="61">
        <v>30</v>
      </c>
      <c r="C104" s="62" t="s">
        <v>26</v>
      </c>
      <c r="D104" s="63">
        <v>2.7748574949247731E-2</v>
      </c>
      <c r="E104" s="65">
        <v>5.3843334831520297E-2</v>
      </c>
      <c r="F104" s="64">
        <v>0.8</v>
      </c>
      <c r="G104" s="64">
        <v>0.32300000000000001</v>
      </c>
    </row>
    <row r="105" spans="1:7" x14ac:dyDescent="0.25">
      <c r="A105" s="60">
        <v>11.78625789679279</v>
      </c>
      <c r="B105" s="61">
        <v>35</v>
      </c>
      <c r="C105" s="62" t="s">
        <v>26</v>
      </c>
      <c r="D105" s="63">
        <v>6.189334461449373E-2</v>
      </c>
      <c r="E105" s="65">
        <v>0.12009784588996364</v>
      </c>
      <c r="F105" s="64">
        <v>0.8</v>
      </c>
      <c r="G105" s="64">
        <v>0.32300000000000001</v>
      </c>
    </row>
    <row r="106" spans="1:7" x14ac:dyDescent="0.25">
      <c r="A106" s="60">
        <v>13.470009024906046</v>
      </c>
      <c r="B106" s="61">
        <v>40</v>
      </c>
      <c r="C106" s="62" t="s">
        <v>26</v>
      </c>
      <c r="D106" s="63">
        <v>7.073525098799284E-2</v>
      </c>
      <c r="E106" s="65">
        <v>0.13725468101710131</v>
      </c>
      <c r="F106" s="64">
        <v>0.8</v>
      </c>
      <c r="G106" s="64">
        <v>0.32300000000000001</v>
      </c>
    </row>
    <row r="107" spans="1:7" x14ac:dyDescent="0.25">
      <c r="A107" s="66">
        <v>3.2319210377052068</v>
      </c>
      <c r="B107" s="67">
        <v>20</v>
      </c>
      <c r="C107" s="70" t="s">
        <v>189</v>
      </c>
      <c r="D107" s="69">
        <v>5.7798455470010439E-3</v>
      </c>
      <c r="E107" s="27">
        <v>1.138475443544619E-2</v>
      </c>
      <c r="F107" s="26">
        <v>0.8</v>
      </c>
      <c r="G107" s="26">
        <v>0.34300000000000003</v>
      </c>
    </row>
    <row r="108" spans="1:7" x14ac:dyDescent="0.25">
      <c r="A108" s="66">
        <v>4.0399012971315083</v>
      </c>
      <c r="B108" s="67">
        <v>25</v>
      </c>
      <c r="C108" s="70" t="s">
        <v>189</v>
      </c>
      <c r="D108" s="69">
        <v>7.224806933751304E-3</v>
      </c>
      <c r="E108" s="27">
        <v>1.4230943044307736E-2</v>
      </c>
      <c r="F108" s="26">
        <v>0.8</v>
      </c>
      <c r="G108" s="26">
        <v>0.34300000000000003</v>
      </c>
    </row>
    <row r="109" spans="1:7" x14ac:dyDescent="0.25">
      <c r="A109" s="66">
        <v>4.8478815565578097</v>
      </c>
      <c r="B109" s="67">
        <v>30</v>
      </c>
      <c r="C109" s="70" t="s">
        <v>189</v>
      </c>
      <c r="D109" s="69">
        <v>8.6697683205015658E-3</v>
      </c>
      <c r="E109" s="27">
        <v>1.7077131653169285E-2</v>
      </c>
      <c r="F109" s="26">
        <v>0.8</v>
      </c>
      <c r="G109" s="26">
        <v>0.34300000000000003</v>
      </c>
    </row>
    <row r="110" spans="1:7" x14ac:dyDescent="0.25">
      <c r="A110" s="66">
        <v>5.6558618159841112</v>
      </c>
      <c r="B110" s="67">
        <v>35</v>
      </c>
      <c r="C110" s="70" t="s">
        <v>189</v>
      </c>
      <c r="D110" s="69">
        <v>1.0114729707251826E-2</v>
      </c>
      <c r="E110" s="27">
        <v>1.9923320262030829E-2</v>
      </c>
      <c r="F110" s="26">
        <v>0.8</v>
      </c>
      <c r="G110" s="26">
        <v>0.34300000000000003</v>
      </c>
    </row>
    <row r="111" spans="1:7" x14ac:dyDescent="0.25">
      <c r="A111" s="66">
        <v>6.4638420754104136</v>
      </c>
      <c r="B111" s="67">
        <v>40</v>
      </c>
      <c r="C111" s="70" t="s">
        <v>189</v>
      </c>
      <c r="D111" s="69">
        <v>1.1559691094002088E-2</v>
      </c>
      <c r="E111" s="27">
        <v>2.276950887089238E-2</v>
      </c>
      <c r="F111" s="26">
        <v>0.8</v>
      </c>
      <c r="G111" s="26">
        <v>0.34300000000000003</v>
      </c>
    </row>
    <row r="112" spans="1:7" x14ac:dyDescent="0.25">
      <c r="A112" s="60">
        <v>3.2319210377052068</v>
      </c>
      <c r="B112" s="61">
        <v>20</v>
      </c>
      <c r="C112" s="62" t="s">
        <v>190</v>
      </c>
      <c r="D112" s="63">
        <v>9.5725715263053086E-3</v>
      </c>
      <c r="E112" s="65">
        <v>1.885541322108111E-2</v>
      </c>
      <c r="F112" s="64">
        <v>0.8</v>
      </c>
      <c r="G112" s="64">
        <v>0.34300000000000003</v>
      </c>
    </row>
    <row r="113" spans="1:7" x14ac:dyDescent="0.25">
      <c r="A113" s="60">
        <v>4.0399012971315083</v>
      </c>
      <c r="B113" s="61">
        <v>25</v>
      </c>
      <c r="C113" s="62" t="s">
        <v>190</v>
      </c>
      <c r="D113" s="63">
        <v>1.1965714407881635E-2</v>
      </c>
      <c r="E113" s="65">
        <v>2.3569266526351388E-2</v>
      </c>
      <c r="F113" s="64">
        <v>0.8</v>
      </c>
      <c r="G113" s="64">
        <v>0.34300000000000003</v>
      </c>
    </row>
    <row r="114" spans="1:7" x14ac:dyDescent="0.25">
      <c r="A114" s="60">
        <v>4.8478815565578097</v>
      </c>
      <c r="B114" s="61">
        <v>30</v>
      </c>
      <c r="C114" s="62" t="s">
        <v>190</v>
      </c>
      <c r="D114" s="63">
        <v>1.4358857289457962E-2</v>
      </c>
      <c r="E114" s="65">
        <v>2.8283119831621666E-2</v>
      </c>
      <c r="F114" s="64">
        <v>0.8</v>
      </c>
      <c r="G114" s="64">
        <v>0.34300000000000003</v>
      </c>
    </row>
    <row r="115" spans="1:7" x14ac:dyDescent="0.25">
      <c r="A115" s="60">
        <v>5.6558618159841112</v>
      </c>
      <c r="B115" s="61">
        <v>35</v>
      </c>
      <c r="C115" s="62" t="s">
        <v>190</v>
      </c>
      <c r="D115" s="63">
        <v>1.675200017103429E-2</v>
      </c>
      <c r="E115" s="65">
        <v>3.2996973136891941E-2</v>
      </c>
      <c r="F115" s="64">
        <v>0.8</v>
      </c>
      <c r="G115" s="64">
        <v>0.34300000000000003</v>
      </c>
    </row>
    <row r="116" spans="1:7" x14ac:dyDescent="0.25">
      <c r="A116" s="60">
        <v>6.4638420754104136</v>
      </c>
      <c r="B116" s="61">
        <v>40</v>
      </c>
      <c r="C116" s="62" t="s">
        <v>190</v>
      </c>
      <c r="D116" s="63">
        <v>1.9145143052610617E-2</v>
      </c>
      <c r="E116" s="65">
        <v>3.7710826442162219E-2</v>
      </c>
      <c r="F116" s="64">
        <v>0.8</v>
      </c>
      <c r="G116" s="64">
        <v>0.34300000000000003</v>
      </c>
    </row>
    <row r="117" spans="1:7" x14ac:dyDescent="0.25">
      <c r="A117" s="66">
        <v>3.2319210377052068</v>
      </c>
      <c r="B117" s="67">
        <v>20</v>
      </c>
      <c r="C117" s="68" t="s">
        <v>105</v>
      </c>
      <c r="D117" s="69">
        <v>7.0783056874107976E-3</v>
      </c>
      <c r="E117" s="27">
        <v>1.3942374656015961E-2</v>
      </c>
      <c r="F117" s="26">
        <v>0.8</v>
      </c>
      <c r="G117" s="26">
        <v>0.34300000000000003</v>
      </c>
    </row>
    <row r="118" spans="1:7" x14ac:dyDescent="0.25">
      <c r="A118" s="66">
        <v>4.0399012971315083</v>
      </c>
      <c r="B118" s="67">
        <v>25</v>
      </c>
      <c r="C118" s="68" t="s">
        <v>105</v>
      </c>
      <c r="D118" s="69">
        <v>8.8478821092634972E-3</v>
      </c>
      <c r="E118" s="27">
        <v>1.742796832001995E-2</v>
      </c>
      <c r="F118" s="26">
        <v>0.8</v>
      </c>
      <c r="G118" s="26">
        <v>0.34300000000000003</v>
      </c>
    </row>
    <row r="119" spans="1:7" x14ac:dyDescent="0.25">
      <c r="A119" s="66">
        <v>4.8478815565578097</v>
      </c>
      <c r="B119" s="67">
        <v>30</v>
      </c>
      <c r="C119" s="68" t="s">
        <v>105</v>
      </c>
      <c r="D119" s="69">
        <v>1.0617458531116196E-2</v>
      </c>
      <c r="E119" s="27">
        <v>2.0913561984023939E-2</v>
      </c>
      <c r="F119" s="26">
        <v>0.8</v>
      </c>
      <c r="G119" s="26">
        <v>0.34300000000000003</v>
      </c>
    </row>
    <row r="120" spans="1:7" x14ac:dyDescent="0.25">
      <c r="A120" s="66">
        <v>5.6558618159841112</v>
      </c>
      <c r="B120" s="67">
        <v>35</v>
      </c>
      <c r="C120" s="68" t="s">
        <v>105</v>
      </c>
      <c r="D120" s="69">
        <v>1.2387034952968895E-2</v>
      </c>
      <c r="E120" s="27">
        <v>2.4399155648027929E-2</v>
      </c>
      <c r="F120" s="26">
        <v>0.8</v>
      </c>
      <c r="G120" s="26">
        <v>0.34300000000000003</v>
      </c>
    </row>
    <row r="121" spans="1:7" x14ac:dyDescent="0.25">
      <c r="A121" s="66">
        <v>6.4638420754104136</v>
      </c>
      <c r="B121" s="67">
        <v>40</v>
      </c>
      <c r="C121" s="68" t="s">
        <v>105</v>
      </c>
      <c r="D121" s="69">
        <v>1.4156611374821595E-2</v>
      </c>
      <c r="E121" s="27">
        <v>2.7884749312031921E-2</v>
      </c>
      <c r="F121" s="26">
        <v>0.8</v>
      </c>
      <c r="G121" s="26">
        <v>0.34300000000000003</v>
      </c>
    </row>
    <row r="122" spans="1:7" x14ac:dyDescent="0.25">
      <c r="A122" s="60">
        <v>21.507226428079839</v>
      </c>
      <c r="B122" s="61">
        <v>20</v>
      </c>
      <c r="C122" s="62" t="s">
        <v>191</v>
      </c>
      <c r="D122" s="63">
        <v>0.34197058899230237</v>
      </c>
      <c r="E122" s="65">
        <v>0.51560045604332738</v>
      </c>
      <c r="F122" s="64">
        <v>0.64</v>
      </c>
      <c r="G122" s="64">
        <v>0.28499999999999998</v>
      </c>
    </row>
    <row r="123" spans="1:7" x14ac:dyDescent="0.25">
      <c r="A123" s="60">
        <v>24.678115118471403</v>
      </c>
      <c r="B123" s="61">
        <v>25</v>
      </c>
      <c r="C123" s="62" t="s">
        <v>191</v>
      </c>
      <c r="D123" s="63">
        <v>0.54059250060134179</v>
      </c>
      <c r="E123" s="65">
        <v>0.81506933290666295</v>
      </c>
      <c r="F123" s="64">
        <v>0.64</v>
      </c>
      <c r="G123" s="64">
        <v>0.28499999999999998</v>
      </c>
    </row>
    <row r="124" spans="1:7" x14ac:dyDescent="0.25">
      <c r="A124" s="60">
        <v>29.613738142165683</v>
      </c>
      <c r="B124" s="61">
        <v>30</v>
      </c>
      <c r="C124" s="62" t="s">
        <v>191</v>
      </c>
      <c r="D124" s="63">
        <v>0.64871100072161014</v>
      </c>
      <c r="E124" s="65">
        <v>0.97808319948799549</v>
      </c>
      <c r="F124" s="64">
        <v>0.64</v>
      </c>
      <c r="G124" s="64">
        <v>0.28499999999999998</v>
      </c>
    </row>
    <row r="125" spans="1:7" x14ac:dyDescent="0.25">
      <c r="A125" s="60">
        <v>32.744226825273465</v>
      </c>
      <c r="B125" s="61">
        <v>35</v>
      </c>
      <c r="C125" s="62" t="s">
        <v>191</v>
      </c>
      <c r="D125" s="63">
        <v>0.86363081643836814</v>
      </c>
      <c r="E125" s="65">
        <v>1.3021249696380088</v>
      </c>
      <c r="F125" s="64">
        <v>0.64</v>
      </c>
      <c r="G125" s="64">
        <v>0.28499999999999998</v>
      </c>
    </row>
    <row r="126" spans="1:7" x14ac:dyDescent="0.25">
      <c r="A126" s="60">
        <v>35.413899955732631</v>
      </c>
      <c r="B126" s="61">
        <v>40</v>
      </c>
      <c r="C126" s="62" t="s">
        <v>191</v>
      </c>
      <c r="D126" s="63">
        <v>1.1176085358157115</v>
      </c>
      <c r="E126" s="65">
        <v>1.6850556430672088</v>
      </c>
      <c r="F126" s="64">
        <v>0.64</v>
      </c>
      <c r="G126" s="64">
        <v>0.28499999999999998</v>
      </c>
    </row>
    <row r="127" spans="1:7" x14ac:dyDescent="0.25">
      <c r="A127" s="66" t="e">
        <v>#VALUE!</v>
      </c>
      <c r="B127" s="67">
        <v>20</v>
      </c>
      <c r="C127" s="71" t="s">
        <v>27</v>
      </c>
      <c r="D127" s="69" t="e">
        <v>#VALUE!</v>
      </c>
      <c r="E127" s="27" t="e">
        <v>#VALUE!</v>
      </c>
      <c r="F127" s="26">
        <v>0.73</v>
      </c>
      <c r="G127" s="26">
        <v>0.504</v>
      </c>
    </row>
    <row r="128" spans="1:7" x14ac:dyDescent="0.25">
      <c r="A128" s="66" t="e">
        <v>#VALUE!</v>
      </c>
      <c r="B128" s="67">
        <v>25</v>
      </c>
      <c r="C128" s="71" t="s">
        <v>27</v>
      </c>
      <c r="D128" s="69" t="e">
        <v>#VALUE!</v>
      </c>
      <c r="E128" s="27" t="e">
        <v>#VALUE!</v>
      </c>
      <c r="F128" s="26">
        <v>0.73</v>
      </c>
      <c r="G128" s="26">
        <v>0.504</v>
      </c>
    </row>
    <row r="129" spans="1:7" x14ac:dyDescent="0.25">
      <c r="A129" s="66" t="e">
        <v>#VALUE!</v>
      </c>
      <c r="B129" s="67">
        <v>30</v>
      </c>
      <c r="C129" s="71" t="s">
        <v>27</v>
      </c>
      <c r="D129" s="69" t="e">
        <v>#VALUE!</v>
      </c>
      <c r="E129" s="27" t="e">
        <v>#VALUE!</v>
      </c>
      <c r="F129" s="26">
        <v>0.73</v>
      </c>
      <c r="G129" s="26">
        <v>0.504</v>
      </c>
    </row>
    <row r="130" spans="1:7" x14ac:dyDescent="0.25">
      <c r="A130" s="66" t="e">
        <v>#VALUE!</v>
      </c>
      <c r="B130" s="67">
        <v>35</v>
      </c>
      <c r="C130" s="71" t="s">
        <v>27</v>
      </c>
      <c r="D130" s="69" t="e">
        <v>#VALUE!</v>
      </c>
      <c r="E130" s="27" t="e">
        <v>#VALUE!</v>
      </c>
      <c r="F130" s="26">
        <v>0.73</v>
      </c>
      <c r="G130" s="26">
        <v>0.504</v>
      </c>
    </row>
    <row r="131" spans="1:7" x14ac:dyDescent="0.25">
      <c r="A131" s="66" t="e">
        <v>#VALUE!</v>
      </c>
      <c r="B131" s="67">
        <v>40</v>
      </c>
      <c r="C131" s="71" t="s">
        <v>27</v>
      </c>
      <c r="D131" s="69" t="e">
        <v>#VALUE!</v>
      </c>
      <c r="E131" s="27" t="e">
        <v>#VALUE!</v>
      </c>
      <c r="F131" s="26">
        <v>0.73</v>
      </c>
      <c r="G131" s="26">
        <v>0.504</v>
      </c>
    </row>
    <row r="132" spans="1:7" x14ac:dyDescent="0.25">
      <c r="A132" s="60">
        <v>7.0852640677918064</v>
      </c>
      <c r="B132" s="61">
        <v>20</v>
      </c>
      <c r="C132" s="62" t="s">
        <v>171</v>
      </c>
      <c r="D132" s="63">
        <v>1.275303928793441E-2</v>
      </c>
      <c r="E132" s="65">
        <v>3.8995053250978962E-2</v>
      </c>
      <c r="F132" s="64">
        <v>1.28</v>
      </c>
      <c r="G132" s="64">
        <v>0.30299999999999999</v>
      </c>
    </row>
    <row r="133" spans="1:7" x14ac:dyDescent="0.25">
      <c r="A133" s="60">
        <v>8.8565800847397576</v>
      </c>
      <c r="B133" s="61">
        <v>25</v>
      </c>
      <c r="C133" s="62" t="s">
        <v>171</v>
      </c>
      <c r="D133" s="63">
        <v>1.5941299109918011E-2</v>
      </c>
      <c r="E133" s="65">
        <v>4.8743816563723702E-2</v>
      </c>
      <c r="F133" s="64">
        <v>1.28</v>
      </c>
      <c r="G133" s="64">
        <v>0.30299999999999999</v>
      </c>
    </row>
    <row r="134" spans="1:7" x14ac:dyDescent="0.25">
      <c r="A134" s="60">
        <v>11.083771142293454</v>
      </c>
      <c r="B134" s="61">
        <v>30</v>
      </c>
      <c r="C134" s="62" t="s">
        <v>171</v>
      </c>
      <c r="D134" s="63">
        <v>2.7498353715506931E-2</v>
      </c>
      <c r="E134" s="65">
        <v>8.4081899478263639E-2</v>
      </c>
      <c r="F134" s="64">
        <v>1.28</v>
      </c>
      <c r="G134" s="64">
        <v>0.30299999999999999</v>
      </c>
    </row>
    <row r="135" spans="1:7" x14ac:dyDescent="0.25">
      <c r="A135" s="60">
        <v>12.931066332675696</v>
      </c>
      <c r="B135" s="61">
        <v>35</v>
      </c>
      <c r="C135" s="62" t="s">
        <v>171</v>
      </c>
      <c r="D135" s="63">
        <v>3.2081412668091419E-2</v>
      </c>
      <c r="E135" s="65">
        <v>9.8095549391307588E-2</v>
      </c>
      <c r="F135" s="64">
        <v>1.28</v>
      </c>
      <c r="G135" s="64">
        <v>0.30299999999999999</v>
      </c>
    </row>
    <row r="136" spans="1:7" x14ac:dyDescent="0.25">
      <c r="A136" s="60">
        <v>14.170528135583613</v>
      </c>
      <c r="B136" s="61">
        <v>40</v>
      </c>
      <c r="C136" s="62" t="s">
        <v>171</v>
      </c>
      <c r="D136" s="63">
        <v>3.6664471620675911E-2</v>
      </c>
      <c r="E136" s="65">
        <v>0.11210919930435154</v>
      </c>
      <c r="F136" s="64">
        <v>1.28</v>
      </c>
      <c r="G136" s="64">
        <v>0.30299999999999999</v>
      </c>
    </row>
    <row r="137" spans="1:7" x14ac:dyDescent="0.25">
      <c r="A137" s="66" t="e">
        <v>#VALUE!</v>
      </c>
      <c r="B137" s="67">
        <v>20</v>
      </c>
      <c r="C137" s="71" t="s">
        <v>192</v>
      </c>
      <c r="D137" s="69" t="e">
        <v>#VALUE!</v>
      </c>
      <c r="E137" s="27" t="e">
        <v>#VALUE!</v>
      </c>
      <c r="F137" s="26" t="s">
        <v>100</v>
      </c>
      <c r="G137" s="26" t="s">
        <v>100</v>
      </c>
    </row>
    <row r="138" spans="1:7" x14ac:dyDescent="0.25">
      <c r="A138" s="66" t="e">
        <v>#VALUE!</v>
      </c>
      <c r="B138" s="67">
        <v>25</v>
      </c>
      <c r="C138" s="71" t="s">
        <v>192</v>
      </c>
      <c r="D138" s="69" t="e">
        <v>#VALUE!</v>
      </c>
      <c r="E138" s="27" t="e">
        <v>#VALUE!</v>
      </c>
      <c r="F138" s="26" t="s">
        <v>100</v>
      </c>
      <c r="G138" s="26" t="s">
        <v>100</v>
      </c>
    </row>
    <row r="139" spans="1:7" x14ac:dyDescent="0.25">
      <c r="A139" s="66" t="e">
        <v>#VALUE!</v>
      </c>
      <c r="B139" s="67">
        <v>30</v>
      </c>
      <c r="C139" s="71" t="s">
        <v>192</v>
      </c>
      <c r="D139" s="69" t="e">
        <v>#VALUE!</v>
      </c>
      <c r="E139" s="27" t="e">
        <v>#VALUE!</v>
      </c>
      <c r="F139" s="26" t="s">
        <v>100</v>
      </c>
      <c r="G139" s="26" t="s">
        <v>100</v>
      </c>
    </row>
    <row r="140" spans="1:7" x14ac:dyDescent="0.25">
      <c r="A140" s="66" t="e">
        <v>#VALUE!</v>
      </c>
      <c r="B140" s="67">
        <v>35</v>
      </c>
      <c r="C140" s="71" t="s">
        <v>192</v>
      </c>
      <c r="D140" s="69" t="e">
        <v>#VALUE!</v>
      </c>
      <c r="E140" s="27" t="e">
        <v>#VALUE!</v>
      </c>
      <c r="F140" s="26" t="s">
        <v>100</v>
      </c>
      <c r="G140" s="26" t="s">
        <v>100</v>
      </c>
    </row>
    <row r="141" spans="1:7" x14ac:dyDescent="0.25">
      <c r="A141" s="66" t="e">
        <v>#VALUE!</v>
      </c>
      <c r="B141" s="67">
        <v>40</v>
      </c>
      <c r="C141" s="71" t="s">
        <v>192</v>
      </c>
      <c r="D141" s="69" t="e">
        <v>#VALUE!</v>
      </c>
      <c r="E141" s="27" t="e">
        <v>#VALUE!</v>
      </c>
      <c r="F141" s="26" t="s">
        <v>100</v>
      </c>
      <c r="G141" s="26" t="s">
        <v>100</v>
      </c>
    </row>
    <row r="142" spans="1:7" x14ac:dyDescent="0.25">
      <c r="A142" s="60">
        <v>8.7528501468290614</v>
      </c>
      <c r="B142" s="61">
        <v>20</v>
      </c>
      <c r="C142" s="62" t="s">
        <v>39</v>
      </c>
      <c r="D142" s="63">
        <v>1.3060539347216366E-2</v>
      </c>
      <c r="E142" s="65">
        <v>2.5342670549338638E-2</v>
      </c>
      <c r="F142" s="64">
        <v>0.8</v>
      </c>
      <c r="G142" s="64">
        <v>0.32300000000000001</v>
      </c>
    </row>
    <row r="143" spans="1:7" x14ac:dyDescent="0.25">
      <c r="A143" s="60">
        <v>11.888316400408007</v>
      </c>
      <c r="B143" s="61">
        <v>25</v>
      </c>
      <c r="C143" s="62" t="s">
        <v>39</v>
      </c>
      <c r="D143" s="63">
        <v>1.6325674184020457E-2</v>
      </c>
      <c r="E143" s="65">
        <v>3.1678338186673295E-2</v>
      </c>
      <c r="F143" s="64">
        <v>0.8</v>
      </c>
      <c r="G143" s="64">
        <v>0.32300000000000001</v>
      </c>
    </row>
    <row r="144" spans="1:7" x14ac:dyDescent="0.25">
      <c r="A144" s="60">
        <v>14.265979680489608</v>
      </c>
      <c r="B144" s="61">
        <v>30</v>
      </c>
      <c r="C144" s="62" t="s">
        <v>39</v>
      </c>
      <c r="D144" s="63">
        <v>4.6052327221534919E-2</v>
      </c>
      <c r="E144" s="65">
        <v>8.9359935740666363E-2</v>
      </c>
      <c r="F144" s="64">
        <v>0.8</v>
      </c>
      <c r="G144" s="64">
        <v>0.32300000000000001</v>
      </c>
    </row>
    <row r="145" spans="1:7" x14ac:dyDescent="0.25">
      <c r="A145" s="60">
        <v>17.319530492270541</v>
      </c>
      <c r="B145" s="61">
        <v>35</v>
      </c>
      <c r="C145" s="62" t="s">
        <v>39</v>
      </c>
      <c r="D145" s="63">
        <v>8.8288764449473867E-2</v>
      </c>
      <c r="E145" s="65">
        <v>0.17131551853775909</v>
      </c>
      <c r="F145" s="64">
        <v>0.8</v>
      </c>
      <c r="G145" s="64">
        <v>0.32300000000000001</v>
      </c>
    </row>
    <row r="146" spans="1:7" x14ac:dyDescent="0.25">
      <c r="A146" s="60">
        <v>19.793749134023475</v>
      </c>
      <c r="B146" s="61">
        <v>40</v>
      </c>
      <c r="C146" s="62" t="s">
        <v>39</v>
      </c>
      <c r="D146" s="63">
        <v>0.10090144508511299</v>
      </c>
      <c r="E146" s="65">
        <v>0.19578916404315322</v>
      </c>
      <c r="F146" s="64">
        <v>0.8</v>
      </c>
      <c r="G146" s="64">
        <v>0.32300000000000001</v>
      </c>
    </row>
    <row r="147" spans="1:7" x14ac:dyDescent="0.25">
      <c r="A147" s="66">
        <v>8.2369269672870438</v>
      </c>
      <c r="B147" s="67">
        <v>20</v>
      </c>
      <c r="C147" s="68" t="s">
        <v>42</v>
      </c>
      <c r="D147" s="69">
        <v>2.0911777452768961E-2</v>
      </c>
      <c r="E147" s="27">
        <v>2.6547327211478084E-2</v>
      </c>
      <c r="F147" s="26">
        <v>0.55000000000000004</v>
      </c>
      <c r="G147" s="26">
        <v>0.25900000000000001</v>
      </c>
    </row>
    <row r="148" spans="1:7" x14ac:dyDescent="0.25">
      <c r="A148" s="66">
        <v>10.925308039060162</v>
      </c>
      <c r="B148" s="67">
        <v>25</v>
      </c>
      <c r="C148" s="68" t="s">
        <v>42</v>
      </c>
      <c r="D148" s="69">
        <v>5.3836633176261334E-2</v>
      </c>
      <c r="E148" s="27">
        <v>6.8345157178653956E-2</v>
      </c>
      <c r="F148" s="26">
        <v>0.55000000000000004</v>
      </c>
      <c r="G148" s="26">
        <v>0.25900000000000001</v>
      </c>
    </row>
    <row r="149" spans="1:7" x14ac:dyDescent="0.25">
      <c r="A149" s="66">
        <v>13.34258419170625</v>
      </c>
      <c r="B149" s="67">
        <v>30</v>
      </c>
      <c r="C149" s="68" t="s">
        <v>42</v>
      </c>
      <c r="D149" s="69">
        <v>0.10661669545555842</v>
      </c>
      <c r="E149" s="27">
        <v>0.13534900640836928</v>
      </c>
      <c r="F149" s="26">
        <v>0.55000000000000004</v>
      </c>
      <c r="G149" s="26">
        <v>0.25900000000000001</v>
      </c>
    </row>
    <row r="150" spans="1:7" x14ac:dyDescent="0.25">
      <c r="A150" s="66">
        <v>14.414622192752326</v>
      </c>
      <c r="B150" s="67">
        <v>35</v>
      </c>
      <c r="C150" s="68" t="s">
        <v>42</v>
      </c>
      <c r="D150" s="69">
        <v>0.12438614469815149</v>
      </c>
      <c r="E150" s="27">
        <v>0.15790717414309749</v>
      </c>
      <c r="F150" s="26">
        <v>0.55000000000000004</v>
      </c>
      <c r="G150" s="26">
        <v>0.25900000000000001</v>
      </c>
    </row>
    <row r="151" spans="1:7" x14ac:dyDescent="0.25">
      <c r="A151" s="66">
        <v>17.790112255608332</v>
      </c>
      <c r="B151" s="67">
        <v>40</v>
      </c>
      <c r="C151" s="68" t="s">
        <v>42</v>
      </c>
      <c r="D151" s="69">
        <v>0.14215559394074456</v>
      </c>
      <c r="E151" s="27">
        <v>0.1804653418778257</v>
      </c>
      <c r="F151" s="26">
        <v>0.55000000000000004</v>
      </c>
      <c r="G151" s="26">
        <v>0.25900000000000001</v>
      </c>
    </row>
    <row r="152" spans="1:7" x14ac:dyDescent="0.25">
      <c r="A152" s="60">
        <v>7.1621437728740966</v>
      </c>
      <c r="B152" s="61">
        <v>20</v>
      </c>
      <c r="C152" s="62" t="s">
        <v>43</v>
      </c>
      <c r="D152" s="63">
        <v>1.8469139953884307E-2</v>
      </c>
      <c r="E152" s="65">
        <v>3.079439737450931E-2</v>
      </c>
      <c r="F152" s="64">
        <v>0.74</v>
      </c>
      <c r="G152" s="64">
        <v>0.22900000000000001</v>
      </c>
    </row>
    <row r="153" spans="1:7" x14ac:dyDescent="0.25">
      <c r="A153" s="60">
        <v>8.9526797160926215</v>
      </c>
      <c r="B153" s="61">
        <v>25</v>
      </c>
      <c r="C153" s="62" t="s">
        <v>43</v>
      </c>
      <c r="D153" s="63">
        <v>2.3086424942355382E-2</v>
      </c>
      <c r="E153" s="65">
        <v>3.8492996718136628E-2</v>
      </c>
      <c r="F153" s="64">
        <v>0.74</v>
      </c>
      <c r="G153" s="64">
        <v>0.22900000000000001</v>
      </c>
    </row>
    <row r="154" spans="1:7" x14ac:dyDescent="0.25">
      <c r="A154" s="60">
        <v>11.395080743642968</v>
      </c>
      <c r="B154" s="61">
        <v>30</v>
      </c>
      <c r="C154" s="62" t="s">
        <v>43</v>
      </c>
      <c r="D154" s="63">
        <v>4.9293523056054722E-2</v>
      </c>
      <c r="E154" s="65">
        <v>8.21892270440258E-2</v>
      </c>
      <c r="F154" s="64">
        <v>0.74</v>
      </c>
      <c r="G154" s="64">
        <v>0.22900000000000001</v>
      </c>
    </row>
    <row r="155" spans="1:7" x14ac:dyDescent="0.25">
      <c r="A155" s="60">
        <v>13.294260867583462</v>
      </c>
      <c r="B155" s="61">
        <v>35</v>
      </c>
      <c r="C155" s="62" t="s">
        <v>43</v>
      </c>
      <c r="D155" s="63">
        <v>4.4133364500346293E-2</v>
      </c>
      <c r="E155" s="65">
        <v>7.3585471077222395E-2</v>
      </c>
      <c r="F155" s="64">
        <v>0.74</v>
      </c>
      <c r="G155" s="64">
        <v>0.22900000000000001</v>
      </c>
    </row>
    <row r="156" spans="1:7" x14ac:dyDescent="0.25">
      <c r="A156" s="60">
        <v>15.546236450483292</v>
      </c>
      <c r="B156" s="61">
        <v>40</v>
      </c>
      <c r="C156" s="62" t="s">
        <v>43</v>
      </c>
      <c r="D156" s="63">
        <v>9.4288643108610765E-2</v>
      </c>
      <c r="E156" s="65">
        <v>0.15721154049618813</v>
      </c>
      <c r="F156" s="64">
        <v>0.74</v>
      </c>
      <c r="G156" s="64">
        <v>0.22900000000000001</v>
      </c>
    </row>
    <row r="157" spans="1:7" x14ac:dyDescent="0.25">
      <c r="A157" s="66">
        <v>7.3146093962009386</v>
      </c>
      <c r="B157" s="67">
        <v>20</v>
      </c>
      <c r="C157" s="68" t="s">
        <v>44</v>
      </c>
      <c r="D157" s="69">
        <v>1.7920503247184628E-2</v>
      </c>
      <c r="E157" s="27">
        <v>2.6073137524437157E-2</v>
      </c>
      <c r="F157" s="26">
        <v>0.64</v>
      </c>
      <c r="G157" s="26">
        <v>0.24</v>
      </c>
    </row>
    <row r="158" spans="1:7" x14ac:dyDescent="0.25">
      <c r="A158" s="66">
        <v>9.1432617452511735</v>
      </c>
      <c r="B158" s="67">
        <v>25</v>
      </c>
      <c r="C158" s="68" t="s">
        <v>44</v>
      </c>
      <c r="D158" s="69">
        <v>2.2400629058980784E-2</v>
      </c>
      <c r="E158" s="27">
        <v>3.2591421905546439E-2</v>
      </c>
      <c r="F158" s="26">
        <v>0.64</v>
      </c>
      <c r="G158" s="26">
        <v>0.24</v>
      </c>
    </row>
    <row r="159" spans="1:7" x14ac:dyDescent="0.25">
      <c r="A159" s="66">
        <v>11.407121694216134</v>
      </c>
      <c r="B159" s="67">
        <v>30</v>
      </c>
      <c r="C159" s="68" t="s">
        <v>44</v>
      </c>
      <c r="D159" s="69">
        <v>5.4433981189938044E-2</v>
      </c>
      <c r="E159" s="27">
        <v>7.9197813699280514E-2</v>
      </c>
      <c r="F159" s="26">
        <v>0.64</v>
      </c>
      <c r="G159" s="26">
        <v>0.24</v>
      </c>
    </row>
    <row r="160" spans="1:7" x14ac:dyDescent="0.25">
      <c r="A160" s="66">
        <v>13.308308643252156</v>
      </c>
      <c r="B160" s="67">
        <v>35</v>
      </c>
      <c r="C160" s="68" t="s">
        <v>44</v>
      </c>
      <c r="D160" s="69">
        <v>6.3506311388261058E-2</v>
      </c>
      <c r="E160" s="27">
        <v>9.2397449315827287E-2</v>
      </c>
      <c r="F160" s="26">
        <v>0.64</v>
      </c>
      <c r="G160" s="26">
        <v>0.24</v>
      </c>
    </row>
    <row r="161" spans="1:7" x14ac:dyDescent="0.25">
      <c r="A161" s="66">
        <v>15.209495592288178</v>
      </c>
      <c r="B161" s="67">
        <v>40</v>
      </c>
      <c r="C161" s="68" t="s">
        <v>44</v>
      </c>
      <c r="D161" s="69">
        <v>7.2578641586584058E-2</v>
      </c>
      <c r="E161" s="27">
        <v>0.10559708493237403</v>
      </c>
      <c r="F161" s="26">
        <v>0.64</v>
      </c>
      <c r="G161" s="26">
        <v>0.24</v>
      </c>
    </row>
    <row r="162" spans="1:7" x14ac:dyDescent="0.25">
      <c r="A162" s="60">
        <v>7.0062355496391788</v>
      </c>
      <c r="B162" s="61">
        <v>20</v>
      </c>
      <c r="C162" s="62" t="s">
        <v>107</v>
      </c>
      <c r="D162" s="63">
        <v>1.7414482645901213E-2</v>
      </c>
      <c r="E162" s="65">
        <v>2.2564090284982921E-2</v>
      </c>
      <c r="F162" s="64">
        <v>0.55000000000000004</v>
      </c>
      <c r="G162" s="64">
        <v>0.28499999999999998</v>
      </c>
    </row>
    <row r="163" spans="1:7" x14ac:dyDescent="0.25">
      <c r="A163" s="60">
        <v>8.7577944370489735</v>
      </c>
      <c r="B163" s="61">
        <v>25</v>
      </c>
      <c r="C163" s="62" t="s">
        <v>107</v>
      </c>
      <c r="D163" s="63">
        <v>2.1768103307376517E-2</v>
      </c>
      <c r="E163" s="65">
        <v>2.8205112856228648E-2</v>
      </c>
      <c r="F163" s="64">
        <v>0.55000000000000004</v>
      </c>
      <c r="G163" s="64">
        <v>0.28499999999999998</v>
      </c>
    </row>
    <row r="164" spans="1:7" x14ac:dyDescent="0.25">
      <c r="A164" s="60">
        <v>10.509353324458768</v>
      </c>
      <c r="B164" s="61">
        <v>30</v>
      </c>
      <c r="C164" s="62" t="s">
        <v>107</v>
      </c>
      <c r="D164" s="63">
        <v>2.6121723968851821E-2</v>
      </c>
      <c r="E164" s="65">
        <v>3.3846135427474382E-2</v>
      </c>
      <c r="F164" s="64">
        <v>0.55000000000000004</v>
      </c>
      <c r="G164" s="64">
        <v>0.28499999999999998</v>
      </c>
    </row>
    <row r="165" spans="1:7" x14ac:dyDescent="0.25">
      <c r="A165" s="60">
        <v>13.160813864729395</v>
      </c>
      <c r="B165" s="61">
        <v>35</v>
      </c>
      <c r="C165" s="62" t="s">
        <v>107</v>
      </c>
      <c r="D165" s="63">
        <v>6.1389279326479446E-2</v>
      </c>
      <c r="E165" s="65">
        <v>7.9542600800647137E-2</v>
      </c>
      <c r="F165" s="64">
        <v>0.55000000000000004</v>
      </c>
      <c r="G165" s="64">
        <v>0.28499999999999998</v>
      </c>
    </row>
    <row r="166" spans="1:7" x14ac:dyDescent="0.25">
      <c r="A166" s="60">
        <v>15.040930131119307</v>
      </c>
      <c r="B166" s="61">
        <v>40</v>
      </c>
      <c r="C166" s="62" t="s">
        <v>107</v>
      </c>
      <c r="D166" s="63">
        <v>7.0159176373119372E-2</v>
      </c>
      <c r="E166" s="65">
        <v>9.0905829486453871E-2</v>
      </c>
      <c r="F166" s="64">
        <v>0.55000000000000004</v>
      </c>
      <c r="G166" s="64">
        <v>0.28499999999999998</v>
      </c>
    </row>
    <row r="167" spans="1:7" x14ac:dyDescent="0.25">
      <c r="A167" s="66">
        <v>7.7996427763608436</v>
      </c>
      <c r="B167" s="67">
        <v>20</v>
      </c>
      <c r="C167" s="68" t="s">
        <v>193</v>
      </c>
      <c r="D167" s="69">
        <v>0.10742808270298149</v>
      </c>
      <c r="E167" s="27">
        <v>0.13919546199227564</v>
      </c>
      <c r="F167" s="26">
        <v>0.55000000000000004</v>
      </c>
      <c r="G167" s="26">
        <v>0.28499999999999998</v>
      </c>
    </row>
    <row r="168" spans="1:7" x14ac:dyDescent="0.25">
      <c r="A168" s="66">
        <v>9.7495534704510547</v>
      </c>
      <c r="B168" s="67">
        <v>25</v>
      </c>
      <c r="C168" s="68" t="s">
        <v>193</v>
      </c>
      <c r="D168" s="69">
        <v>0.13428510337872684</v>
      </c>
      <c r="E168" s="27">
        <v>0.17399432749034452</v>
      </c>
      <c r="F168" s="26">
        <v>0.55000000000000004</v>
      </c>
      <c r="G168" s="26">
        <v>0.28499999999999998</v>
      </c>
    </row>
    <row r="169" spans="1:7" x14ac:dyDescent="0.25">
      <c r="A169" s="66">
        <v>11.699464164541265</v>
      </c>
      <c r="B169" s="67">
        <v>30</v>
      </c>
      <c r="C169" s="68" t="s">
        <v>193</v>
      </c>
      <c r="D169" s="69">
        <v>0.16114212405447223</v>
      </c>
      <c r="E169" s="27">
        <v>0.20879319298841345</v>
      </c>
      <c r="F169" s="26">
        <v>0.55000000000000004</v>
      </c>
      <c r="G169" s="26">
        <v>0.28499999999999998</v>
      </c>
    </row>
    <row r="170" spans="1:7" x14ac:dyDescent="0.25">
      <c r="A170" s="66">
        <v>13.649374858631475</v>
      </c>
      <c r="B170" s="67">
        <v>35</v>
      </c>
      <c r="C170" s="68" t="s">
        <v>193</v>
      </c>
      <c r="D170" s="69">
        <v>0.18799914473021759</v>
      </c>
      <c r="E170" s="27">
        <v>0.24359205848648233</v>
      </c>
      <c r="F170" s="26">
        <v>0.55000000000000004</v>
      </c>
      <c r="G170" s="26">
        <v>0.28499999999999998</v>
      </c>
    </row>
    <row r="171" spans="1:7" x14ac:dyDescent="0.25">
      <c r="A171" s="66">
        <v>15.599285552721687</v>
      </c>
      <c r="B171" s="67">
        <v>40</v>
      </c>
      <c r="C171" s="68" t="s">
        <v>193</v>
      </c>
      <c r="D171" s="69">
        <v>0.21485616540596297</v>
      </c>
      <c r="E171" s="27">
        <v>0.27839092398455129</v>
      </c>
      <c r="F171" s="26">
        <v>0.55000000000000004</v>
      </c>
      <c r="G171" s="26">
        <v>0.28499999999999998</v>
      </c>
    </row>
    <row r="172" spans="1:7" x14ac:dyDescent="0.25">
      <c r="A172" s="60">
        <v>10.037338900710644</v>
      </c>
      <c r="B172" s="61">
        <v>20</v>
      </c>
      <c r="C172" s="62" t="s">
        <v>46</v>
      </c>
      <c r="D172" s="63">
        <v>3.3503830928553087E-2</v>
      </c>
      <c r="E172" s="65">
        <v>5.5735242101476262E-2</v>
      </c>
      <c r="F172" s="64">
        <v>0.73</v>
      </c>
      <c r="G172" s="64">
        <v>0.24299999999999999</v>
      </c>
    </row>
    <row r="173" spans="1:7" x14ac:dyDescent="0.25">
      <c r="A173" s="60">
        <v>13.498956530660177</v>
      </c>
      <c r="B173" s="61">
        <v>25</v>
      </c>
      <c r="C173" s="62" t="s">
        <v>46</v>
      </c>
      <c r="D173" s="63">
        <v>5.8341290419510826E-2</v>
      </c>
      <c r="E173" s="65">
        <v>9.7053556441893188E-2</v>
      </c>
      <c r="F173" s="64">
        <v>0.73</v>
      </c>
      <c r="G173" s="64">
        <v>0.24299999999999999</v>
      </c>
    </row>
    <row r="174" spans="1:7" x14ac:dyDescent="0.25">
      <c r="A174" s="60">
        <v>16.56150113446283</v>
      </c>
      <c r="B174" s="61">
        <v>30</v>
      </c>
      <c r="C174" s="62" t="s">
        <v>46</v>
      </c>
      <c r="D174" s="63">
        <v>0.10075270942259493</v>
      </c>
      <c r="E174" s="65">
        <v>0.16760700183877539</v>
      </c>
      <c r="F174" s="64">
        <v>0.73</v>
      </c>
      <c r="G174" s="64">
        <v>0.24299999999999999</v>
      </c>
    </row>
    <row r="175" spans="1:7" x14ac:dyDescent="0.25">
      <c r="A175" s="60">
        <v>19.321751323539967</v>
      </c>
      <c r="B175" s="61">
        <v>35</v>
      </c>
      <c r="C175" s="62" t="s">
        <v>46</v>
      </c>
      <c r="D175" s="63">
        <v>0.11754482765969408</v>
      </c>
      <c r="E175" s="65">
        <v>0.19554150214523794</v>
      </c>
      <c r="F175" s="64">
        <v>0.73</v>
      </c>
      <c r="G175" s="64">
        <v>0.24299999999999999</v>
      </c>
    </row>
    <row r="176" spans="1:7" x14ac:dyDescent="0.25">
      <c r="A176" s="60">
        <v>22.08889122049407</v>
      </c>
      <c r="B176" s="61">
        <v>40</v>
      </c>
      <c r="C176" s="62" t="s">
        <v>46</v>
      </c>
      <c r="D176" s="63">
        <v>0.17605825136816797</v>
      </c>
      <c r="E176" s="65">
        <v>0.29288141063309686</v>
      </c>
      <c r="F176" s="64">
        <v>0.73</v>
      </c>
      <c r="G176" s="64">
        <v>0.24299999999999999</v>
      </c>
    </row>
    <row r="177" spans="1:7" x14ac:dyDescent="0.25">
      <c r="A177" s="66">
        <v>24.078689156162341</v>
      </c>
      <c r="B177" s="67">
        <v>20</v>
      </c>
      <c r="C177" s="68" t="s">
        <v>47</v>
      </c>
      <c r="D177" s="69">
        <v>0.31777502341536062</v>
      </c>
      <c r="E177" s="27">
        <v>0.32939499677158235</v>
      </c>
      <c r="F177" s="26">
        <v>0.44</v>
      </c>
      <c r="G177" s="26">
        <v>0.28499999999999998</v>
      </c>
    </row>
    <row r="178" spans="1:7" x14ac:dyDescent="0.25">
      <c r="A178" s="66">
        <v>32.204222617669629</v>
      </c>
      <c r="B178" s="67">
        <v>25</v>
      </c>
      <c r="C178" s="68" t="s">
        <v>47</v>
      </c>
      <c r="D178" s="69">
        <v>0.55930534071995763</v>
      </c>
      <c r="E178" s="27">
        <v>0.57975727267895072</v>
      </c>
      <c r="F178" s="26">
        <v>0.44</v>
      </c>
      <c r="G178" s="26">
        <v>0.28499999999999998</v>
      </c>
    </row>
    <row r="179" spans="1:7" x14ac:dyDescent="0.25">
      <c r="A179" s="66">
        <v>39.59298412321337</v>
      </c>
      <c r="B179" s="67">
        <v>30</v>
      </c>
      <c r="C179" s="68" t="s">
        <v>47</v>
      </c>
      <c r="D179" s="69">
        <v>1.1056419210053683</v>
      </c>
      <c r="E179" s="27">
        <v>1.1460715605834644</v>
      </c>
      <c r="F179" s="26">
        <v>0.44</v>
      </c>
      <c r="G179" s="26">
        <v>0.28499999999999998</v>
      </c>
    </row>
    <row r="180" spans="1:7" x14ac:dyDescent="0.25">
      <c r="A180" s="66">
        <v>48.003730575633305</v>
      </c>
      <c r="B180" s="67">
        <v>35</v>
      </c>
      <c r="C180" s="68" t="s">
        <v>47</v>
      </c>
      <c r="D180" s="69">
        <v>1.7462315731181992</v>
      </c>
      <c r="E180" s="27">
        <v>1.8100854409752209</v>
      </c>
      <c r="F180" s="26">
        <v>0.44</v>
      </c>
      <c r="G180" s="26">
        <v>0.28499999999999998</v>
      </c>
    </row>
    <row r="181" spans="1:7" x14ac:dyDescent="0.25">
      <c r="A181" s="66">
        <v>56.562952209018967</v>
      </c>
      <c r="B181" s="67">
        <v>40</v>
      </c>
      <c r="C181" s="68" t="s">
        <v>47</v>
      </c>
      <c r="D181" s="69">
        <v>2.6150138968397703</v>
      </c>
      <c r="E181" s="27">
        <v>2.7106362383342106</v>
      </c>
      <c r="F181" s="26">
        <v>0.44</v>
      </c>
      <c r="G181" s="26">
        <v>0.28499999999999998</v>
      </c>
    </row>
    <row r="182" spans="1:7" x14ac:dyDescent="0.25">
      <c r="A182" s="60">
        <v>9.493565735822548</v>
      </c>
      <c r="B182" s="61">
        <v>20</v>
      </c>
      <c r="C182" s="62" t="s">
        <v>48</v>
      </c>
      <c r="D182" s="63">
        <v>2.5368496278808071E-2</v>
      </c>
      <c r="E182" s="65">
        <v>3.6880635328476907E-2</v>
      </c>
      <c r="F182" s="64">
        <v>0.62</v>
      </c>
      <c r="G182" s="64">
        <v>0.27900000000000003</v>
      </c>
    </row>
    <row r="183" spans="1:7" x14ac:dyDescent="0.25">
      <c r="A183" s="60">
        <v>12.418256824453039</v>
      </c>
      <c r="B183" s="61">
        <v>25</v>
      </c>
      <c r="C183" s="62" t="s">
        <v>48</v>
      </c>
      <c r="D183" s="63">
        <v>6.40322140670921E-2</v>
      </c>
      <c r="E183" s="65">
        <v>9.3089819370024932E-2</v>
      </c>
      <c r="F183" s="64">
        <v>0.62</v>
      </c>
      <c r="G183" s="64">
        <v>0.27900000000000003</v>
      </c>
    </row>
    <row r="184" spans="1:7" x14ac:dyDescent="0.25">
      <c r="A184" s="60">
        <v>14.901908189343647</v>
      </c>
      <c r="B184" s="61">
        <v>30</v>
      </c>
      <c r="C184" s="62" t="s">
        <v>48</v>
      </c>
      <c r="D184" s="63">
        <v>7.6838656880510517E-2</v>
      </c>
      <c r="E184" s="65">
        <v>0.11170778324402991</v>
      </c>
      <c r="F184" s="64">
        <v>0.62</v>
      </c>
      <c r="G184" s="64">
        <v>0.27900000000000003</v>
      </c>
    </row>
    <row r="185" spans="1:7" x14ac:dyDescent="0.25">
      <c r="A185" s="60">
        <v>17.329821156245668</v>
      </c>
      <c r="B185" s="61">
        <v>35</v>
      </c>
      <c r="C185" s="62" t="s">
        <v>48</v>
      </c>
      <c r="D185" s="63">
        <v>0.13420830181283941</v>
      </c>
      <c r="E185" s="65">
        <v>0.19511158181449983</v>
      </c>
      <c r="F185" s="64">
        <v>0.62</v>
      </c>
      <c r="G185" s="64">
        <v>0.27900000000000003</v>
      </c>
    </row>
    <row r="186" spans="1:7" x14ac:dyDescent="0.25">
      <c r="A186" s="60">
        <v>19.805509892852193</v>
      </c>
      <c r="B186" s="61">
        <v>40</v>
      </c>
      <c r="C186" s="62" t="s">
        <v>48</v>
      </c>
      <c r="D186" s="63">
        <v>0.15338091635753076</v>
      </c>
      <c r="E186" s="65">
        <v>0.222984664930857</v>
      </c>
      <c r="F186" s="64">
        <v>0.62</v>
      </c>
      <c r="G186" s="64">
        <v>0.27900000000000003</v>
      </c>
    </row>
    <row r="187" spans="1:7" x14ac:dyDescent="0.25">
      <c r="A187" s="66">
        <v>6.9076754635913691</v>
      </c>
      <c r="B187" s="67">
        <v>20</v>
      </c>
      <c r="C187" s="68" t="s">
        <v>49</v>
      </c>
      <c r="D187" s="69">
        <v>2.3631844082256638E-2</v>
      </c>
      <c r="E187" s="27">
        <v>3.6603166366973285E-2</v>
      </c>
      <c r="F187" s="26">
        <v>0.61</v>
      </c>
      <c r="G187" s="26">
        <v>0.38500000000000001</v>
      </c>
    </row>
    <row r="188" spans="1:7" x14ac:dyDescent="0.25">
      <c r="A188" s="66">
        <v>8.6345943294892127</v>
      </c>
      <c r="B188" s="67">
        <v>25</v>
      </c>
      <c r="C188" s="68" t="s">
        <v>49</v>
      </c>
      <c r="D188" s="69">
        <v>2.9539805102820796E-2</v>
      </c>
      <c r="E188" s="27">
        <v>4.5753957958716604E-2</v>
      </c>
      <c r="F188" s="26">
        <v>0.61</v>
      </c>
      <c r="G188" s="26">
        <v>0.38500000000000001</v>
      </c>
    </row>
    <row r="189" spans="1:7" x14ac:dyDescent="0.25">
      <c r="A189" s="66">
        <v>10.556875164951174</v>
      </c>
      <c r="B189" s="67">
        <v>30</v>
      </c>
      <c r="C189" s="68" t="s">
        <v>49</v>
      </c>
      <c r="D189" s="69">
        <v>5.8196712673332089E-2</v>
      </c>
      <c r="E189" s="27">
        <v>9.0140403287118462E-2</v>
      </c>
      <c r="F189" s="26">
        <v>0.61</v>
      </c>
      <c r="G189" s="26">
        <v>0.38500000000000001</v>
      </c>
    </row>
    <row r="190" spans="1:7" x14ac:dyDescent="0.25">
      <c r="A190" s="66">
        <v>12.316354359109704</v>
      </c>
      <c r="B190" s="67">
        <v>35</v>
      </c>
      <c r="C190" s="68" t="s">
        <v>49</v>
      </c>
      <c r="D190" s="69">
        <v>6.7896164785554103E-2</v>
      </c>
      <c r="E190" s="27">
        <v>0.10516380383497152</v>
      </c>
      <c r="F190" s="26">
        <v>0.61</v>
      </c>
      <c r="G190" s="26">
        <v>0.38500000000000001</v>
      </c>
    </row>
    <row r="191" spans="1:7" x14ac:dyDescent="0.25">
      <c r="A191" s="66">
        <v>14.075833553268232</v>
      </c>
      <c r="B191" s="67">
        <v>40</v>
      </c>
      <c r="C191" s="68" t="s">
        <v>49</v>
      </c>
      <c r="D191" s="69">
        <v>7.759561689777611E-2</v>
      </c>
      <c r="E191" s="27">
        <v>0.12018720438282458</v>
      </c>
      <c r="F191" s="26">
        <v>0.61</v>
      </c>
      <c r="G191" s="26">
        <v>0.38500000000000001</v>
      </c>
    </row>
    <row r="192" spans="1:7" x14ac:dyDescent="0.25">
      <c r="A192" s="60">
        <v>21.365238756543103</v>
      </c>
      <c r="B192" s="61">
        <v>20</v>
      </c>
      <c r="C192" s="62" t="s">
        <v>108</v>
      </c>
      <c r="D192" s="63">
        <v>0.13331567677235068</v>
      </c>
      <c r="E192" s="65">
        <v>0.20654286732427818</v>
      </c>
      <c r="F192" s="64">
        <v>0.62</v>
      </c>
      <c r="G192" s="64">
        <v>0.36299999999999999</v>
      </c>
    </row>
    <row r="193" spans="1:7" x14ac:dyDescent="0.25">
      <c r="A193" s="60">
        <v>27.357585528931562</v>
      </c>
      <c r="B193" s="61">
        <v>25</v>
      </c>
      <c r="C193" s="62" t="s">
        <v>108</v>
      </c>
      <c r="D193" s="63">
        <v>0.29653007932906505</v>
      </c>
      <c r="E193" s="65">
        <v>0.45940713286933604</v>
      </c>
      <c r="F193" s="64">
        <v>0.62</v>
      </c>
      <c r="G193" s="64">
        <v>0.36299999999999999</v>
      </c>
    </row>
    <row r="194" spans="1:7" x14ac:dyDescent="0.25">
      <c r="A194" s="60">
        <v>32.716421072802603</v>
      </c>
      <c r="B194" s="61">
        <v>30</v>
      </c>
      <c r="C194" s="62" t="s">
        <v>108</v>
      </c>
      <c r="D194" s="63">
        <v>0.43352669931402832</v>
      </c>
      <c r="E194" s="65">
        <v>0.67165279962424007</v>
      </c>
      <c r="F194" s="64">
        <v>0.62</v>
      </c>
      <c r="G194" s="64">
        <v>0.36299999999999999</v>
      </c>
    </row>
    <row r="195" spans="1:7" x14ac:dyDescent="0.25">
      <c r="A195" s="60">
        <v>37.842747167200073</v>
      </c>
      <c r="B195" s="61">
        <v>35</v>
      </c>
      <c r="C195" s="62" t="s">
        <v>108</v>
      </c>
      <c r="D195" s="63">
        <v>0.59561593058269391</v>
      </c>
      <c r="E195" s="65">
        <v>0.92277386354672075</v>
      </c>
      <c r="F195" s="64">
        <v>0.62</v>
      </c>
      <c r="G195" s="64">
        <v>0.36299999999999999</v>
      </c>
    </row>
    <row r="196" spans="1:7" x14ac:dyDescent="0.25">
      <c r="A196" s="60">
        <v>42.736691527154122</v>
      </c>
      <c r="B196" s="61">
        <v>40</v>
      </c>
      <c r="C196" s="62" t="s">
        <v>108</v>
      </c>
      <c r="D196" s="63">
        <v>0.81528022188747196</v>
      </c>
      <c r="E196" s="65">
        <v>1.2630946245650829</v>
      </c>
      <c r="F196" s="64">
        <v>0.62</v>
      </c>
      <c r="G196" s="64">
        <v>0.36299999999999999</v>
      </c>
    </row>
    <row r="197" spans="1:7" x14ac:dyDescent="0.25">
      <c r="A197" s="66">
        <v>21.365238756543103</v>
      </c>
      <c r="B197" s="67">
        <v>20</v>
      </c>
      <c r="C197" s="68" t="s">
        <v>52</v>
      </c>
      <c r="D197" s="69">
        <v>0.18430681403256532</v>
      </c>
      <c r="E197" s="27">
        <v>0.28554224648832599</v>
      </c>
      <c r="F197" s="26">
        <v>0.62</v>
      </c>
      <c r="G197" s="26">
        <v>0.36299999999999999</v>
      </c>
    </row>
    <row r="198" spans="1:7" x14ac:dyDescent="0.25">
      <c r="A198" s="66">
        <v>27.357585528931562</v>
      </c>
      <c r="B198" s="67">
        <v>25</v>
      </c>
      <c r="C198" s="68" t="s">
        <v>52</v>
      </c>
      <c r="D198" s="69">
        <v>0.46475194136522141</v>
      </c>
      <c r="E198" s="27">
        <v>0.72002933854517226</v>
      </c>
      <c r="F198" s="26">
        <v>0.62</v>
      </c>
      <c r="G198" s="26">
        <v>0.36299999999999999</v>
      </c>
    </row>
    <row r="199" spans="1:7" x14ac:dyDescent="0.25">
      <c r="A199" s="66">
        <v>32.716421072802603</v>
      </c>
      <c r="B199" s="67">
        <v>30</v>
      </c>
      <c r="C199" s="68" t="s">
        <v>52</v>
      </c>
      <c r="D199" s="69">
        <v>0.64962248187758487</v>
      </c>
      <c r="E199" s="27">
        <v>1.0064449533150317</v>
      </c>
      <c r="F199" s="26">
        <v>0.62</v>
      </c>
      <c r="G199" s="26">
        <v>0.36299999999999999</v>
      </c>
    </row>
    <row r="200" spans="1:7" x14ac:dyDescent="0.25">
      <c r="A200" s="66">
        <v>37.842747167200073</v>
      </c>
      <c r="B200" s="67">
        <v>35</v>
      </c>
      <c r="C200" s="68" t="s">
        <v>52</v>
      </c>
      <c r="D200" s="69">
        <v>0.93269311968610946</v>
      </c>
      <c r="E200" s="27">
        <v>1.44499968749023</v>
      </c>
      <c r="F200" s="26">
        <v>0.62</v>
      </c>
      <c r="G200" s="26">
        <v>0.36299999999999999</v>
      </c>
    </row>
    <row r="201" spans="1:7" x14ac:dyDescent="0.25">
      <c r="A201" s="66">
        <v>42.736691527154122</v>
      </c>
      <c r="B201" s="67">
        <v>40</v>
      </c>
      <c r="C201" s="68" t="s">
        <v>52</v>
      </c>
      <c r="D201" s="69">
        <v>1.2235395364888055</v>
      </c>
      <c r="E201" s="27">
        <v>1.8956012546262551</v>
      </c>
      <c r="F201" s="26">
        <v>0.62</v>
      </c>
      <c r="G201" s="26">
        <v>0.36299999999999999</v>
      </c>
    </row>
    <row r="202" spans="1:7" x14ac:dyDescent="0.25">
      <c r="A202" s="60">
        <v>21.365238756543103</v>
      </c>
      <c r="B202" s="61">
        <v>20</v>
      </c>
      <c r="C202" s="62" t="s">
        <v>194</v>
      </c>
      <c r="D202" s="63">
        <v>0.21841359949394204</v>
      </c>
      <c r="E202" s="65">
        <v>0.33838309337864286</v>
      </c>
      <c r="F202" s="64">
        <v>0.62</v>
      </c>
      <c r="G202" s="64">
        <v>0.36299999999999999</v>
      </c>
    </row>
    <row r="203" spans="1:7" x14ac:dyDescent="0.25">
      <c r="A203" s="60">
        <v>27.357585528931562</v>
      </c>
      <c r="B203" s="61">
        <v>25</v>
      </c>
      <c r="C203" s="62" t="s">
        <v>194</v>
      </c>
      <c r="D203" s="63">
        <v>0.51973169525491636</v>
      </c>
      <c r="E203" s="65">
        <v>0.80520818838555264</v>
      </c>
      <c r="F203" s="64">
        <v>0.62</v>
      </c>
      <c r="G203" s="64">
        <v>0.36299999999999999</v>
      </c>
    </row>
    <row r="204" spans="1:7" x14ac:dyDescent="0.25">
      <c r="A204" s="60">
        <v>32.716421072802603</v>
      </c>
      <c r="B204" s="61">
        <v>30</v>
      </c>
      <c r="C204" s="62" t="s">
        <v>194</v>
      </c>
      <c r="D204" s="63">
        <v>0.75996873280127686</v>
      </c>
      <c r="E204" s="65">
        <v>1.1774018251252529</v>
      </c>
      <c r="F204" s="64">
        <v>0.62</v>
      </c>
      <c r="G204" s="64">
        <v>0.36299999999999999</v>
      </c>
    </row>
    <row r="205" spans="1:7" x14ac:dyDescent="0.25">
      <c r="A205" s="60">
        <v>37.842747167200073</v>
      </c>
      <c r="B205" s="61">
        <v>35</v>
      </c>
      <c r="C205" s="62" t="s">
        <v>194</v>
      </c>
      <c r="D205" s="63">
        <v>1.0033584896898251</v>
      </c>
      <c r="E205" s="65">
        <v>1.5544798963783533</v>
      </c>
      <c r="F205" s="64">
        <v>0.62</v>
      </c>
      <c r="G205" s="64">
        <v>0.36299999999999999</v>
      </c>
    </row>
    <row r="206" spans="1:7" x14ac:dyDescent="0.25">
      <c r="A206" s="60">
        <v>42.736691527154122</v>
      </c>
      <c r="B206" s="61">
        <v>40</v>
      </c>
      <c r="C206" s="62" t="s">
        <v>194</v>
      </c>
      <c r="D206" s="63">
        <v>1.3062334225151486</v>
      </c>
      <c r="E206" s="65">
        <v>2.0237169627228608</v>
      </c>
      <c r="F206" s="64">
        <v>0.62</v>
      </c>
      <c r="G206" s="64">
        <v>0.36299999999999999</v>
      </c>
    </row>
    <row r="207" spans="1:7" x14ac:dyDescent="0.25">
      <c r="A207" s="66">
        <v>21.365238756543103</v>
      </c>
      <c r="B207" s="67">
        <v>20</v>
      </c>
      <c r="C207" s="68" t="s">
        <v>54</v>
      </c>
      <c r="D207" s="69">
        <v>0.1588783245860548</v>
      </c>
      <c r="E207" s="27">
        <v>0.35046440026022546</v>
      </c>
      <c r="F207" s="26">
        <v>0.8</v>
      </c>
      <c r="G207" s="26">
        <v>0.504</v>
      </c>
    </row>
    <row r="208" spans="1:7" x14ac:dyDescent="0.25">
      <c r="A208" s="66">
        <v>27.357585528931562</v>
      </c>
      <c r="B208" s="67">
        <v>25</v>
      </c>
      <c r="C208" s="68" t="s">
        <v>54</v>
      </c>
      <c r="D208" s="69">
        <v>0.33067416033692204</v>
      </c>
      <c r="E208" s="27">
        <v>0.72942310781520503</v>
      </c>
      <c r="F208" s="26">
        <v>0.8</v>
      </c>
      <c r="G208" s="26">
        <v>0.504</v>
      </c>
    </row>
    <row r="209" spans="1:7" x14ac:dyDescent="0.25">
      <c r="A209" s="66">
        <v>32.716421072802603</v>
      </c>
      <c r="B209" s="67">
        <v>30</v>
      </c>
      <c r="C209" s="68" t="s">
        <v>54</v>
      </c>
      <c r="D209" s="69">
        <v>0.52057743788682687</v>
      </c>
      <c r="E209" s="27">
        <v>1.1483244176532885</v>
      </c>
      <c r="F209" s="26">
        <v>0.8</v>
      </c>
      <c r="G209" s="26">
        <v>0.504</v>
      </c>
    </row>
    <row r="210" spans="1:7" x14ac:dyDescent="0.25">
      <c r="A210" s="66">
        <v>37.842747167200073</v>
      </c>
      <c r="B210" s="67">
        <v>35</v>
      </c>
      <c r="C210" s="68" t="s">
        <v>54</v>
      </c>
      <c r="D210" s="69">
        <v>0.61808392924993483</v>
      </c>
      <c r="E210" s="27">
        <v>1.3634107367347896</v>
      </c>
      <c r="F210" s="26">
        <v>0.8</v>
      </c>
      <c r="G210" s="26">
        <v>0.504</v>
      </c>
    </row>
    <row r="211" spans="1:7" x14ac:dyDescent="0.25">
      <c r="A211" s="66">
        <v>42.736691527154122</v>
      </c>
      <c r="B211" s="67">
        <v>40</v>
      </c>
      <c r="C211" s="68" t="s">
        <v>54</v>
      </c>
      <c r="D211" s="69">
        <v>0.84738961741264107</v>
      </c>
      <c r="E211" s="27">
        <v>1.8692285107299644</v>
      </c>
      <c r="F211" s="26">
        <v>0.8</v>
      </c>
      <c r="G211" s="26">
        <v>0.504</v>
      </c>
    </row>
    <row r="212" spans="1:7" x14ac:dyDescent="0.25">
      <c r="A212" s="60">
        <v>24.078689156162341</v>
      </c>
      <c r="B212" s="61">
        <v>20</v>
      </c>
      <c r="C212" s="62" t="s">
        <v>195</v>
      </c>
      <c r="D212" s="63">
        <v>0.33402828749429769</v>
      </c>
      <c r="E212" s="65">
        <v>0.34624258854033912</v>
      </c>
      <c r="F212" s="64">
        <v>0.44</v>
      </c>
      <c r="G212" s="64">
        <v>0.28499999999999998</v>
      </c>
    </row>
    <row r="213" spans="1:7" x14ac:dyDescent="0.25">
      <c r="A213" s="60">
        <v>31.263938505917221</v>
      </c>
      <c r="B213" s="61">
        <v>25</v>
      </c>
      <c r="C213" s="62" t="s">
        <v>195</v>
      </c>
      <c r="D213" s="63">
        <v>0.61179325145087948</v>
      </c>
      <c r="E213" s="65">
        <v>0.63416449134559993</v>
      </c>
      <c r="F213" s="64">
        <v>0.44</v>
      </c>
      <c r="G213" s="64">
        <v>0.28499999999999998</v>
      </c>
    </row>
    <row r="214" spans="1:7" x14ac:dyDescent="0.25">
      <c r="A214" s="60">
        <v>39.59298412321337</v>
      </c>
      <c r="B214" s="61">
        <v>30</v>
      </c>
      <c r="C214" s="62" t="s">
        <v>195</v>
      </c>
      <c r="D214" s="63">
        <v>1.2507329958097388</v>
      </c>
      <c r="E214" s="65">
        <v>1.2964681323565146</v>
      </c>
      <c r="F214" s="64">
        <v>0.44</v>
      </c>
      <c r="G214" s="64">
        <v>0.28499999999999998</v>
      </c>
    </row>
    <row r="215" spans="1:7" x14ac:dyDescent="0.25">
      <c r="A215" s="60">
        <v>48.003730575633305</v>
      </c>
      <c r="B215" s="61">
        <v>35</v>
      </c>
      <c r="C215" s="62" t="s">
        <v>195</v>
      </c>
      <c r="D215" s="63">
        <v>2.7761715625814669</v>
      </c>
      <c r="E215" s="65">
        <v>2.8776869027198626</v>
      </c>
      <c r="F215" s="64">
        <v>0.44</v>
      </c>
      <c r="G215" s="64">
        <v>0.28499999999999998</v>
      </c>
    </row>
    <row r="216" spans="1:7" x14ac:dyDescent="0.25">
      <c r="A216" s="60">
        <v>56.562952209018967</v>
      </c>
      <c r="B216" s="61">
        <v>40</v>
      </c>
      <c r="C216" s="62" t="s">
        <v>195</v>
      </c>
      <c r="D216" s="63">
        <v>3.2847516435067581</v>
      </c>
      <c r="E216" s="65">
        <v>3.4048640619376549</v>
      </c>
      <c r="F216" s="64">
        <v>0.44</v>
      </c>
      <c r="G216" s="64">
        <v>0.28499999999999998</v>
      </c>
    </row>
    <row r="217" spans="1:7" x14ac:dyDescent="0.25">
      <c r="A217" s="66">
        <v>7.0852640677918064</v>
      </c>
      <c r="B217" s="67">
        <v>20</v>
      </c>
      <c r="C217" s="68" t="s">
        <v>165</v>
      </c>
      <c r="D217" s="69">
        <v>1.7875108881303933E-2</v>
      </c>
      <c r="E217" s="27">
        <v>4.8828839094095237E-2</v>
      </c>
      <c r="F217" s="72">
        <v>1</v>
      </c>
      <c r="G217" s="26">
        <v>0.49</v>
      </c>
    </row>
    <row r="218" spans="1:7" x14ac:dyDescent="0.25">
      <c r="A218" s="66">
        <v>8.8565800847397576</v>
      </c>
      <c r="B218" s="67">
        <v>25</v>
      </c>
      <c r="C218" s="68" t="s">
        <v>165</v>
      </c>
      <c r="D218" s="69">
        <v>2.2343886101629917E-2</v>
      </c>
      <c r="E218" s="27">
        <v>6.1036048867619055E-2</v>
      </c>
      <c r="F218" s="72">
        <v>1</v>
      </c>
      <c r="G218" s="26">
        <v>0.49</v>
      </c>
    </row>
    <row r="219" spans="1:7" x14ac:dyDescent="0.25">
      <c r="A219" s="66">
        <v>11.083771142293454</v>
      </c>
      <c r="B219" s="67">
        <v>30</v>
      </c>
      <c r="C219" s="68" t="s">
        <v>165</v>
      </c>
      <c r="D219" s="69">
        <v>4.6570343702280768E-2</v>
      </c>
      <c r="E219" s="27">
        <v>0.12721465554673028</v>
      </c>
      <c r="F219" s="72">
        <v>1</v>
      </c>
      <c r="G219" s="26">
        <v>0.49</v>
      </c>
    </row>
    <row r="220" spans="1:7" x14ac:dyDescent="0.25">
      <c r="A220" s="66">
        <v>12.931066332675696</v>
      </c>
      <c r="B220" s="67">
        <v>35</v>
      </c>
      <c r="C220" s="68" t="s">
        <v>165</v>
      </c>
      <c r="D220" s="69">
        <v>5.4332067652660895E-2</v>
      </c>
      <c r="E220" s="27">
        <v>0.148417098137852</v>
      </c>
      <c r="F220" s="72">
        <v>1</v>
      </c>
      <c r="G220" s="26">
        <v>0.49</v>
      </c>
    </row>
    <row r="221" spans="1:7" x14ac:dyDescent="0.25">
      <c r="A221" s="66">
        <v>14.778361523057939</v>
      </c>
      <c r="B221" s="67">
        <v>40</v>
      </c>
      <c r="C221" s="68" t="s">
        <v>165</v>
      </c>
      <c r="D221" s="69">
        <v>6.2093791603041029E-2</v>
      </c>
      <c r="E221" s="27">
        <v>0.16961954072897373</v>
      </c>
      <c r="F221" s="72">
        <v>1</v>
      </c>
      <c r="G221" s="26">
        <v>0.49</v>
      </c>
    </row>
    <row r="222" spans="1:7" x14ac:dyDescent="0.25">
      <c r="A222" s="60">
        <v>6.3861650121177487</v>
      </c>
      <c r="B222" s="61">
        <v>20</v>
      </c>
      <c r="C222" s="62" t="s">
        <v>57</v>
      </c>
      <c r="D222" s="63">
        <v>1.4848292609940923E-2</v>
      </c>
      <c r="E222" s="65">
        <v>4.1003485800888813E-2</v>
      </c>
      <c r="F222" s="64">
        <v>1.1100000000000001</v>
      </c>
      <c r="G222" s="64">
        <v>0.35699999999999998</v>
      </c>
    </row>
    <row r="223" spans="1:7" x14ac:dyDescent="0.25">
      <c r="A223" s="60">
        <v>7.9827062651471854</v>
      </c>
      <c r="B223" s="61">
        <v>25</v>
      </c>
      <c r="C223" s="62" t="s">
        <v>57</v>
      </c>
      <c r="D223" s="63">
        <v>1.8560365762426152E-2</v>
      </c>
      <c r="E223" s="65">
        <v>5.1254357251111014E-2</v>
      </c>
      <c r="F223" s="64">
        <v>1.1100000000000001</v>
      </c>
      <c r="G223" s="64">
        <v>0.35699999999999998</v>
      </c>
    </row>
    <row r="224" spans="1:7" x14ac:dyDescent="0.25">
      <c r="A224" s="60">
        <v>10.102506768679534</v>
      </c>
      <c r="B224" s="61">
        <v>30</v>
      </c>
      <c r="C224" s="62" t="s">
        <v>57</v>
      </c>
      <c r="D224" s="63">
        <v>3.5327485281266127E-2</v>
      </c>
      <c r="E224" s="65">
        <v>9.7556673966789992E-2</v>
      </c>
      <c r="F224" s="64">
        <v>1.1100000000000001</v>
      </c>
      <c r="G224" s="64">
        <v>0.35699999999999998</v>
      </c>
    </row>
    <row r="225" spans="1:7" x14ac:dyDescent="0.25">
      <c r="A225" s="60">
        <v>11.78625789679279</v>
      </c>
      <c r="B225" s="61">
        <v>35</v>
      </c>
      <c r="C225" s="62" t="s">
        <v>57</v>
      </c>
      <c r="D225" s="63">
        <v>4.1215399494810484E-2</v>
      </c>
      <c r="E225" s="65">
        <v>0.11381611962792167</v>
      </c>
      <c r="F225" s="64">
        <v>1.1100000000000001</v>
      </c>
      <c r="G225" s="64">
        <v>0.35699999999999998</v>
      </c>
    </row>
    <row r="226" spans="1:7" x14ac:dyDescent="0.25">
      <c r="A226" s="60">
        <v>13.470009024906046</v>
      </c>
      <c r="B226" s="61">
        <v>40</v>
      </c>
      <c r="C226" s="62" t="s">
        <v>57</v>
      </c>
      <c r="D226" s="63">
        <v>4.7103313708354841E-2</v>
      </c>
      <c r="E226" s="65">
        <v>0.13007556528905334</v>
      </c>
      <c r="F226" s="64">
        <v>1.1100000000000001</v>
      </c>
      <c r="G226" s="64">
        <v>0.35699999999999998</v>
      </c>
    </row>
    <row r="227" spans="1:7" x14ac:dyDescent="0.25">
      <c r="A227" s="66">
        <v>6.3861650121177487</v>
      </c>
      <c r="B227" s="67">
        <v>20</v>
      </c>
      <c r="C227" s="68" t="s">
        <v>58</v>
      </c>
      <c r="D227" s="69">
        <v>1.4033784511862425E-2</v>
      </c>
      <c r="E227" s="27">
        <v>4.3569848746908557E-2</v>
      </c>
      <c r="F227" s="26">
        <v>1.28</v>
      </c>
      <c r="G227" s="26">
        <v>0.32300000000000001</v>
      </c>
    </row>
    <row r="228" spans="1:7" x14ac:dyDescent="0.25">
      <c r="A228" s="66">
        <v>7.9827062651471854</v>
      </c>
      <c r="B228" s="67">
        <v>25</v>
      </c>
      <c r="C228" s="68" t="s">
        <v>58</v>
      </c>
      <c r="D228" s="69">
        <v>1.754223063982803E-2</v>
      </c>
      <c r="E228" s="27">
        <v>5.4462310933635683E-2</v>
      </c>
      <c r="F228" s="26">
        <v>1.28</v>
      </c>
      <c r="G228" s="26">
        <v>0.32300000000000001</v>
      </c>
    </row>
    <row r="229" spans="1:7" x14ac:dyDescent="0.25">
      <c r="A229" s="66">
        <v>9.5792475181766221</v>
      </c>
      <c r="B229" s="67">
        <v>30</v>
      </c>
      <c r="C229" s="68" t="s">
        <v>58</v>
      </c>
      <c r="D229" s="69">
        <v>2.1050676767793638E-2</v>
      </c>
      <c r="E229" s="27">
        <v>6.5354773120362836E-2</v>
      </c>
      <c r="F229" s="26">
        <v>1.28</v>
      </c>
      <c r="G229" s="26">
        <v>0.32300000000000001</v>
      </c>
    </row>
    <row r="230" spans="1:7" x14ac:dyDescent="0.25">
      <c r="A230" s="66">
        <v>11.78625789679279</v>
      </c>
      <c r="B230" s="67">
        <v>35</v>
      </c>
      <c r="C230" s="68" t="s">
        <v>58</v>
      </c>
      <c r="D230" s="69">
        <v>3.3104626383453767E-2</v>
      </c>
      <c r="E230" s="27">
        <v>0.1027779472551259</v>
      </c>
      <c r="F230" s="26">
        <v>1.28</v>
      </c>
      <c r="G230" s="26">
        <v>0.32300000000000001</v>
      </c>
    </row>
    <row r="231" spans="1:7" x14ac:dyDescent="0.25">
      <c r="A231" s="66">
        <v>13.470009024906046</v>
      </c>
      <c r="B231" s="67">
        <v>40</v>
      </c>
      <c r="C231" s="68" t="s">
        <v>58</v>
      </c>
      <c r="D231" s="69">
        <v>3.7833858723947164E-2</v>
      </c>
      <c r="E231" s="27">
        <v>0.11746051114871532</v>
      </c>
      <c r="F231" s="26">
        <v>1.28</v>
      </c>
      <c r="G231" s="26">
        <v>0.32300000000000001</v>
      </c>
    </row>
    <row r="232" spans="1:7" x14ac:dyDescent="0.25">
      <c r="A232" s="60">
        <v>7.0852640677918064</v>
      </c>
      <c r="B232" s="61">
        <v>20</v>
      </c>
      <c r="C232" s="62" t="s">
        <v>59</v>
      </c>
      <c r="D232" s="63">
        <v>2.6624296652618271E-2</v>
      </c>
      <c r="E232" s="65">
        <v>5.5638922658708602E-2</v>
      </c>
      <c r="F232" s="64">
        <v>0.84</v>
      </c>
      <c r="G232" s="64">
        <v>0.35699999999999998</v>
      </c>
    </row>
    <row r="233" spans="1:7" x14ac:dyDescent="0.25">
      <c r="A233" s="60">
        <v>8.8565800847397576</v>
      </c>
      <c r="B233" s="61">
        <v>25</v>
      </c>
      <c r="C233" s="62" t="s">
        <v>59</v>
      </c>
      <c r="D233" s="63">
        <v>3.3280370815772835E-2</v>
      </c>
      <c r="E233" s="65">
        <v>6.9548653323385751E-2</v>
      </c>
      <c r="F233" s="64">
        <v>0.84</v>
      </c>
      <c r="G233" s="64">
        <v>0.35699999999999998</v>
      </c>
    </row>
    <row r="234" spans="1:7" x14ac:dyDescent="0.25">
      <c r="A234" s="60">
        <v>11.083771142293454</v>
      </c>
      <c r="B234" s="61">
        <v>30</v>
      </c>
      <c r="C234" s="62" t="s">
        <v>59</v>
      </c>
      <c r="D234" s="63">
        <v>8.5655255515471082E-2</v>
      </c>
      <c r="E234" s="65">
        <v>0.17900063987112114</v>
      </c>
      <c r="F234" s="64">
        <v>0.84</v>
      </c>
      <c r="G234" s="64">
        <v>0.35699999999999998</v>
      </c>
    </row>
    <row r="235" spans="1:7" x14ac:dyDescent="0.25">
      <c r="A235" s="60">
        <v>12.931066332675696</v>
      </c>
      <c r="B235" s="61">
        <v>35</v>
      </c>
      <c r="C235" s="62" t="s">
        <v>59</v>
      </c>
      <c r="D235" s="63">
        <v>9.9931131434716255E-2</v>
      </c>
      <c r="E235" s="65">
        <v>0.20883407984964134</v>
      </c>
      <c r="F235" s="64">
        <v>0.84</v>
      </c>
      <c r="G235" s="64">
        <v>0.35699999999999998</v>
      </c>
    </row>
    <row r="236" spans="1:7" x14ac:dyDescent="0.25">
      <c r="A236" s="60">
        <v>14.778361523057939</v>
      </c>
      <c r="B236" s="61">
        <v>40</v>
      </c>
      <c r="C236" s="62" t="s">
        <v>59</v>
      </c>
      <c r="D236" s="63">
        <v>0.11420700735396144</v>
      </c>
      <c r="E236" s="65">
        <v>0.23866751982816153</v>
      </c>
      <c r="F236" s="64">
        <v>0.84</v>
      </c>
      <c r="G236" s="64">
        <v>0.35699999999999998</v>
      </c>
    </row>
    <row r="237" spans="1:7" x14ac:dyDescent="0.25">
      <c r="A237" s="66">
        <v>8.6509680433240472</v>
      </c>
      <c r="B237" s="67">
        <v>20</v>
      </c>
      <c r="C237" s="68" t="s">
        <v>60</v>
      </c>
      <c r="D237" s="69">
        <v>3.0960646267520889E-2</v>
      </c>
      <c r="E237" s="27">
        <v>6.8552185747233832E-2</v>
      </c>
      <c r="F237" s="26">
        <v>0.89</v>
      </c>
      <c r="G237" s="26">
        <v>0.35699999999999998</v>
      </c>
    </row>
    <row r="238" spans="1:7" x14ac:dyDescent="0.25">
      <c r="A238" s="66">
        <v>11.585606043052112</v>
      </c>
      <c r="B238" s="67">
        <v>25</v>
      </c>
      <c r="C238" s="68" t="s">
        <v>60</v>
      </c>
      <c r="D238" s="69">
        <v>5.5535418063081127E-2</v>
      </c>
      <c r="E238" s="27">
        <v>0.12296494917176243</v>
      </c>
      <c r="F238" s="26">
        <v>0.89</v>
      </c>
      <c r="G238" s="26">
        <v>0.35699999999999998</v>
      </c>
    </row>
    <row r="239" spans="1:7" x14ac:dyDescent="0.25">
      <c r="A239" s="66">
        <v>13.902727251662533</v>
      </c>
      <c r="B239" s="67">
        <v>30</v>
      </c>
      <c r="C239" s="68" t="s">
        <v>60</v>
      </c>
      <c r="D239" s="69">
        <v>6.6642501675697352E-2</v>
      </c>
      <c r="E239" s="27">
        <v>0.14755793900611491</v>
      </c>
      <c r="F239" s="26">
        <v>0.89</v>
      </c>
      <c r="G239" s="26">
        <v>0.35699999999999998</v>
      </c>
    </row>
    <row r="240" spans="1:7" x14ac:dyDescent="0.25">
      <c r="A240" s="66">
        <v>16.636404255116883</v>
      </c>
      <c r="B240" s="67">
        <v>35</v>
      </c>
      <c r="C240" s="68" t="s">
        <v>60</v>
      </c>
      <c r="D240" s="69">
        <v>0.10425333573826619</v>
      </c>
      <c r="E240" s="27">
        <v>0.23083478214715636</v>
      </c>
      <c r="F240" s="26">
        <v>0.89</v>
      </c>
      <c r="G240" s="26">
        <v>0.35699999999999998</v>
      </c>
    </row>
    <row r="241" spans="1:7" x14ac:dyDescent="0.25">
      <c r="A241" s="66">
        <v>19.013033434419295</v>
      </c>
      <c r="B241" s="67">
        <v>40</v>
      </c>
      <c r="C241" s="68" t="s">
        <v>60</v>
      </c>
      <c r="D241" s="69">
        <v>0.11914666941516135</v>
      </c>
      <c r="E241" s="27">
        <v>0.26381117959675016</v>
      </c>
      <c r="F241" s="26">
        <v>0.89</v>
      </c>
      <c r="G241" s="26">
        <v>0.35699999999999998</v>
      </c>
    </row>
    <row r="242" spans="1:7" x14ac:dyDescent="0.25">
      <c r="A242" s="60">
        <v>7.0998775271126577</v>
      </c>
      <c r="B242" s="61">
        <v>20</v>
      </c>
      <c r="C242" s="62" t="s">
        <v>61</v>
      </c>
      <c r="D242" s="63">
        <v>1.9354648683058993E-2</v>
      </c>
      <c r="E242" s="65">
        <v>5.3290218724743897E-2</v>
      </c>
      <c r="F242" s="64">
        <v>1.1100000000000001</v>
      </c>
      <c r="G242" s="64">
        <v>0.35299999999999998</v>
      </c>
    </row>
    <row r="243" spans="1:7" x14ac:dyDescent="0.25">
      <c r="A243" s="60">
        <v>8.874846908890822</v>
      </c>
      <c r="B243" s="61">
        <v>25</v>
      </c>
      <c r="C243" s="62" t="s">
        <v>61</v>
      </c>
      <c r="D243" s="63">
        <v>2.4193310853823743E-2</v>
      </c>
      <c r="E243" s="65">
        <v>6.6612773405929887E-2</v>
      </c>
      <c r="F243" s="64">
        <v>1.1100000000000001</v>
      </c>
      <c r="G243" s="64">
        <v>0.35299999999999998</v>
      </c>
    </row>
    <row r="244" spans="1:7" x14ac:dyDescent="0.25">
      <c r="A244" s="60">
        <v>11.206762907856127</v>
      </c>
      <c r="B244" s="61">
        <v>30</v>
      </c>
      <c r="C244" s="62" t="s">
        <v>61</v>
      </c>
      <c r="D244" s="63">
        <v>5.3727881844045491E-2</v>
      </c>
      <c r="E244" s="65">
        <v>0.14793193211471187</v>
      </c>
      <c r="F244" s="64">
        <v>1.1100000000000001</v>
      </c>
      <c r="G244" s="64">
        <v>0.35299999999999998</v>
      </c>
    </row>
    <row r="245" spans="1:7" x14ac:dyDescent="0.25">
      <c r="A245" s="60">
        <v>13.074556725832148</v>
      </c>
      <c r="B245" s="61">
        <v>35</v>
      </c>
      <c r="C245" s="62" t="s">
        <v>61</v>
      </c>
      <c r="D245" s="63">
        <v>6.2682528818053071E-2</v>
      </c>
      <c r="E245" s="65">
        <v>0.17258725413383053</v>
      </c>
      <c r="F245" s="64">
        <v>1.1100000000000001</v>
      </c>
      <c r="G245" s="64">
        <v>0.35299999999999998</v>
      </c>
    </row>
    <row r="246" spans="1:7" x14ac:dyDescent="0.25">
      <c r="A246" s="60">
        <v>14.942350543808169</v>
      </c>
      <c r="B246" s="61">
        <v>40</v>
      </c>
      <c r="C246" s="62" t="s">
        <v>61</v>
      </c>
      <c r="D246" s="63">
        <v>7.1637175792060651E-2</v>
      </c>
      <c r="E246" s="65">
        <v>0.19724257615294916</v>
      </c>
      <c r="F246" s="64">
        <v>1.1100000000000001</v>
      </c>
      <c r="G246" s="64">
        <v>0.35299999999999998</v>
      </c>
    </row>
    <row r="247" spans="1:7" x14ac:dyDescent="0.25">
      <c r="A247" s="66">
        <v>8.6509680433240472</v>
      </c>
      <c r="B247" s="67">
        <v>20</v>
      </c>
      <c r="C247" s="70" t="s">
        <v>62</v>
      </c>
      <c r="D247" s="69">
        <v>3.3837493759715447E-2</v>
      </c>
      <c r="E247" s="27">
        <v>7.0712917709178133E-2</v>
      </c>
      <c r="F247" s="26">
        <v>0.84</v>
      </c>
      <c r="G247" s="26">
        <v>0.35699999999999998</v>
      </c>
    </row>
    <row r="248" spans="1:7" x14ac:dyDescent="0.25">
      <c r="A248" s="66">
        <v>11.585606043052112</v>
      </c>
      <c r="B248" s="67">
        <v>25</v>
      </c>
      <c r="C248" s="70" t="s">
        <v>62</v>
      </c>
      <c r="D248" s="69">
        <v>7.6750370757631942E-2</v>
      </c>
      <c r="E248" s="27">
        <v>0.16039138980188405</v>
      </c>
      <c r="F248" s="26">
        <v>0.84</v>
      </c>
      <c r="G248" s="26">
        <v>0.35699999999999998</v>
      </c>
    </row>
    <row r="249" spans="1:7" x14ac:dyDescent="0.25">
      <c r="A249" s="66">
        <v>13.902727251662533</v>
      </c>
      <c r="B249" s="67">
        <v>30</v>
      </c>
      <c r="C249" s="70" t="s">
        <v>62</v>
      </c>
      <c r="D249" s="69">
        <v>9.2100444909158335E-2</v>
      </c>
      <c r="E249" s="27">
        <v>0.1924696677622609</v>
      </c>
      <c r="F249" s="26">
        <v>0.84</v>
      </c>
      <c r="G249" s="26">
        <v>0.35699999999999998</v>
      </c>
    </row>
    <row r="250" spans="1:7" x14ac:dyDescent="0.25">
      <c r="A250" s="66">
        <v>16.636404255116883</v>
      </c>
      <c r="B250" s="67">
        <v>35</v>
      </c>
      <c r="C250" s="70" t="s">
        <v>62</v>
      </c>
      <c r="D250" s="69">
        <v>0.10745051906068473</v>
      </c>
      <c r="E250" s="27">
        <v>0.2245479457226377</v>
      </c>
      <c r="F250" s="26">
        <v>0.84</v>
      </c>
      <c r="G250" s="26">
        <v>0.35699999999999998</v>
      </c>
    </row>
    <row r="251" spans="1:7" x14ac:dyDescent="0.25">
      <c r="A251" s="66">
        <v>19.013033434419295</v>
      </c>
      <c r="B251" s="67">
        <v>40</v>
      </c>
      <c r="C251" s="70" t="s">
        <v>62</v>
      </c>
      <c r="D251" s="69">
        <v>0.16228837751151071</v>
      </c>
      <c r="E251" s="27">
        <v>0.3391470055560048</v>
      </c>
      <c r="F251" s="26">
        <v>0.84</v>
      </c>
      <c r="G251" s="26">
        <v>0.35699999999999998</v>
      </c>
    </row>
    <row r="252" spans="1:7" x14ac:dyDescent="0.25">
      <c r="A252" s="60">
        <v>8.6509680433240472</v>
      </c>
      <c r="B252" s="61">
        <v>20</v>
      </c>
      <c r="C252" s="62" t="s">
        <v>98</v>
      </c>
      <c r="D252" s="63">
        <v>3.6271193707291177E-2</v>
      </c>
      <c r="E252" s="65">
        <v>7.2189347795831374E-2</v>
      </c>
      <c r="F252" s="64">
        <v>0.8</v>
      </c>
      <c r="G252" s="64">
        <v>0.35699999999999998</v>
      </c>
    </row>
    <row r="253" spans="1:7" x14ac:dyDescent="0.25">
      <c r="A253" s="60">
        <v>11.585606043052112</v>
      </c>
      <c r="B253" s="61">
        <v>25</v>
      </c>
      <c r="C253" s="62" t="s">
        <v>98</v>
      </c>
      <c r="D253" s="63">
        <v>9.2760006106566914E-2</v>
      </c>
      <c r="E253" s="65">
        <v>0.18461714815369659</v>
      </c>
      <c r="F253" s="64">
        <v>0.8</v>
      </c>
      <c r="G253" s="64">
        <v>0.35699999999999998</v>
      </c>
    </row>
    <row r="254" spans="1:7" x14ac:dyDescent="0.25">
      <c r="A254" s="60">
        <v>13.902727251662533</v>
      </c>
      <c r="B254" s="61">
        <v>30</v>
      </c>
      <c r="C254" s="62" t="s">
        <v>98</v>
      </c>
      <c r="D254" s="63">
        <v>0.1113120073278803</v>
      </c>
      <c r="E254" s="65">
        <v>0.22154057778443589</v>
      </c>
      <c r="F254" s="64">
        <v>0.8</v>
      </c>
      <c r="G254" s="64">
        <v>0.35699999999999998</v>
      </c>
    </row>
    <row r="255" spans="1:7" x14ac:dyDescent="0.25">
      <c r="A255" s="60">
        <v>16.636404255116883</v>
      </c>
      <c r="B255" s="61">
        <v>35</v>
      </c>
      <c r="C255" s="62" t="s">
        <v>98</v>
      </c>
      <c r="D255" s="63">
        <v>0.1744750679670522</v>
      </c>
      <c r="E255" s="65">
        <v>0.34725191193922511</v>
      </c>
      <c r="F255" s="64">
        <v>0.8</v>
      </c>
      <c r="G255" s="64">
        <v>0.35699999999999998</v>
      </c>
    </row>
    <row r="256" spans="1:7" x14ac:dyDescent="0.25">
      <c r="A256" s="60">
        <v>19.013033434419295</v>
      </c>
      <c r="B256" s="61">
        <v>40</v>
      </c>
      <c r="C256" s="62" t="s">
        <v>98</v>
      </c>
      <c r="D256" s="63">
        <v>0.19940007767663109</v>
      </c>
      <c r="E256" s="65">
        <v>0.39685932793054296</v>
      </c>
      <c r="F256" s="64">
        <v>0.8</v>
      </c>
      <c r="G256" s="64">
        <v>0.35699999999999998</v>
      </c>
    </row>
    <row r="257" spans="1:7" x14ac:dyDescent="0.25">
      <c r="A257" s="66">
        <v>7.0998775271126577</v>
      </c>
      <c r="B257" s="67">
        <v>20</v>
      </c>
      <c r="C257" s="68" t="s">
        <v>104</v>
      </c>
      <c r="D257" s="69">
        <v>2.8768468145291475E-2</v>
      </c>
      <c r="E257" s="27">
        <v>8.9315736942597715E-2</v>
      </c>
      <c r="F257" s="26">
        <v>1.28</v>
      </c>
      <c r="G257" s="26">
        <v>0.32300000000000001</v>
      </c>
    </row>
    <row r="258" spans="1:7" x14ac:dyDescent="0.25">
      <c r="A258" s="66">
        <v>8.874846908890822</v>
      </c>
      <c r="B258" s="67">
        <v>25</v>
      </c>
      <c r="C258" s="68" t="s">
        <v>104</v>
      </c>
      <c r="D258" s="69">
        <v>3.5960585181614345E-2</v>
      </c>
      <c r="E258" s="27">
        <v>0.11164467117824715</v>
      </c>
      <c r="F258" s="26">
        <v>1.28</v>
      </c>
      <c r="G258" s="26">
        <v>0.32300000000000001</v>
      </c>
    </row>
    <row r="259" spans="1:7" x14ac:dyDescent="0.25">
      <c r="A259" s="66">
        <v>11.206762907856127</v>
      </c>
      <c r="B259" s="67">
        <v>30</v>
      </c>
      <c r="C259" s="68" t="s">
        <v>104</v>
      </c>
      <c r="D259" s="69">
        <v>4.96763616512092E-2</v>
      </c>
      <c r="E259" s="27">
        <v>0.15422721943681011</v>
      </c>
      <c r="F259" s="26">
        <v>1.28</v>
      </c>
      <c r="G259" s="26">
        <v>0.32300000000000001</v>
      </c>
    </row>
    <row r="260" spans="1:7" x14ac:dyDescent="0.25">
      <c r="A260" s="66">
        <v>13.074556725832148</v>
      </c>
      <c r="B260" s="67">
        <v>35</v>
      </c>
      <c r="C260" s="68" t="s">
        <v>104</v>
      </c>
      <c r="D260" s="69">
        <v>5.7955755259744064E-2</v>
      </c>
      <c r="E260" s="27">
        <v>0.17993175600961181</v>
      </c>
      <c r="F260" s="26">
        <v>1.28</v>
      </c>
      <c r="G260" s="26">
        <v>0.32300000000000001</v>
      </c>
    </row>
    <row r="261" spans="1:7" x14ac:dyDescent="0.25">
      <c r="A261" s="66">
        <v>14.942350543808169</v>
      </c>
      <c r="B261" s="67">
        <v>40</v>
      </c>
      <c r="C261" s="68" t="s">
        <v>104</v>
      </c>
      <c r="D261" s="69">
        <v>6.6235148868278929E-2</v>
      </c>
      <c r="E261" s="27">
        <v>0.20563629258241348</v>
      </c>
      <c r="F261" s="26">
        <v>1.28</v>
      </c>
      <c r="G261" s="26">
        <v>0.32300000000000001</v>
      </c>
    </row>
    <row r="262" spans="1:7" x14ac:dyDescent="0.25">
      <c r="A262" s="60">
        <v>8.7528501468290614</v>
      </c>
      <c r="B262" s="61">
        <v>20</v>
      </c>
      <c r="C262" s="62" t="s">
        <v>64</v>
      </c>
      <c r="D262" s="63">
        <v>2.7231583871240757E-2</v>
      </c>
      <c r="E262" s="65">
        <v>6.0069243142107612E-2</v>
      </c>
      <c r="F262" s="64">
        <v>0.8</v>
      </c>
      <c r="G262" s="64">
        <v>0.504</v>
      </c>
    </row>
    <row r="263" spans="1:7" x14ac:dyDescent="0.25">
      <c r="A263" s="60">
        <v>11.888316400408007</v>
      </c>
      <c r="B263" s="61">
        <v>25</v>
      </c>
      <c r="C263" s="62" t="s">
        <v>64</v>
      </c>
      <c r="D263" s="63">
        <v>7.221104985622355E-2</v>
      </c>
      <c r="E263" s="65">
        <v>0.15928794784284833</v>
      </c>
      <c r="F263" s="64">
        <v>0.8</v>
      </c>
      <c r="G263" s="64">
        <v>0.504</v>
      </c>
    </row>
    <row r="264" spans="1:7" x14ac:dyDescent="0.25">
      <c r="A264" s="60">
        <v>14.265979680489608</v>
      </c>
      <c r="B264" s="61">
        <v>30</v>
      </c>
      <c r="C264" s="62" t="s">
        <v>64</v>
      </c>
      <c r="D264" s="63">
        <v>8.6653259827468271E-2</v>
      </c>
      <c r="E264" s="65">
        <v>0.19114553741141802</v>
      </c>
      <c r="F264" s="64">
        <v>0.8</v>
      </c>
      <c r="G264" s="64">
        <v>0.504</v>
      </c>
    </row>
    <row r="265" spans="1:7" x14ac:dyDescent="0.25">
      <c r="A265" s="60">
        <v>16.64364296057121</v>
      </c>
      <c r="B265" s="61">
        <v>35</v>
      </c>
      <c r="C265" s="62" t="s">
        <v>64</v>
      </c>
      <c r="D265" s="63">
        <v>0.15598954072599311</v>
      </c>
      <c r="E265" s="65">
        <v>0.34409212823611068</v>
      </c>
      <c r="F265" s="64">
        <v>0.8</v>
      </c>
      <c r="G265" s="64">
        <v>0.504</v>
      </c>
    </row>
    <row r="266" spans="1:7" x14ac:dyDescent="0.25">
      <c r="A266" s="60">
        <v>19.793749134023475</v>
      </c>
      <c r="B266" s="61">
        <v>40</v>
      </c>
      <c r="C266" s="62" t="s">
        <v>64</v>
      </c>
      <c r="D266" s="63">
        <v>0.17827376082970639</v>
      </c>
      <c r="E266" s="65">
        <v>0.39324814655555496</v>
      </c>
      <c r="F266" s="64">
        <v>0.8</v>
      </c>
      <c r="G266" s="64">
        <v>0.504</v>
      </c>
    </row>
    <row r="267" spans="1:7" x14ac:dyDescent="0.25">
      <c r="A267" s="66">
        <v>21.365238756543103</v>
      </c>
      <c r="B267" s="67">
        <v>20</v>
      </c>
      <c r="C267" s="68" t="s">
        <v>196</v>
      </c>
      <c r="D267" s="69">
        <v>0.13993173246654608</v>
      </c>
      <c r="E267" s="27">
        <v>0.3086707442568718</v>
      </c>
      <c r="F267" s="26">
        <v>0.8</v>
      </c>
      <c r="G267" s="26">
        <v>0.504</v>
      </c>
    </row>
    <row r="268" spans="1:7" x14ac:dyDescent="0.25">
      <c r="A268" s="66">
        <v>27.357585528931562</v>
      </c>
      <c r="B268" s="67">
        <v>25</v>
      </c>
      <c r="C268" s="68" t="s">
        <v>196</v>
      </c>
      <c r="D268" s="69">
        <v>0.26066265362298341</v>
      </c>
      <c r="E268" s="27">
        <v>0.57498705887181834</v>
      </c>
      <c r="F268" s="26">
        <v>0.8</v>
      </c>
      <c r="G268" s="26">
        <v>0.504</v>
      </c>
    </row>
    <row r="269" spans="1:7" x14ac:dyDescent="0.25">
      <c r="A269" s="66">
        <v>27.479825228311551</v>
      </c>
      <c r="B269" s="67">
        <v>30</v>
      </c>
      <c r="C269" s="68" t="s">
        <v>196</v>
      </c>
      <c r="D269" s="69">
        <v>0.40603515156448039</v>
      </c>
      <c r="E269" s="27">
        <v>0.89565940633103525</v>
      </c>
      <c r="F269" s="26">
        <v>0.8</v>
      </c>
      <c r="G269" s="26">
        <v>0.504</v>
      </c>
    </row>
    <row r="270" spans="1:7" x14ac:dyDescent="0.25">
      <c r="A270" s="66">
        <v>37.842747167200073</v>
      </c>
      <c r="B270" s="67">
        <v>35</v>
      </c>
      <c r="C270" s="68" t="s">
        <v>196</v>
      </c>
      <c r="D270" s="69">
        <v>0.56415193613376724</v>
      </c>
      <c r="E270" s="27">
        <v>1.2444439508529392</v>
      </c>
      <c r="F270" s="26">
        <v>0.8</v>
      </c>
      <c r="G270" s="26">
        <v>0.504</v>
      </c>
    </row>
    <row r="271" spans="1:7" x14ac:dyDescent="0.25">
      <c r="A271" s="66">
        <v>42.736691527154122</v>
      </c>
      <c r="B271" s="67">
        <v>40</v>
      </c>
      <c r="C271" s="68" t="s">
        <v>196</v>
      </c>
      <c r="D271" s="69">
        <v>0.61922533725760553</v>
      </c>
      <c r="E271" s="27">
        <v>1.3659285306119766</v>
      </c>
      <c r="F271" s="26">
        <v>0.8</v>
      </c>
      <c r="G271" s="26">
        <v>0.504</v>
      </c>
    </row>
    <row r="272" spans="1:7" x14ac:dyDescent="0.25">
      <c r="A272" s="60">
        <v>10.088832167232482</v>
      </c>
      <c r="B272" s="61">
        <v>20</v>
      </c>
      <c r="C272" s="62" t="s">
        <v>67</v>
      </c>
      <c r="D272" s="63">
        <v>6.2140816833345464E-2</v>
      </c>
      <c r="E272" s="65">
        <v>0.16514543481629892</v>
      </c>
      <c r="F272" s="64">
        <v>0.8</v>
      </c>
      <c r="G272" s="64">
        <v>0.81200000000000006</v>
      </c>
    </row>
    <row r="273" spans="1:7" x14ac:dyDescent="0.25">
      <c r="A273" s="60">
        <v>12.611040209040603</v>
      </c>
      <c r="B273" s="61">
        <v>25</v>
      </c>
      <c r="C273" s="62" t="s">
        <v>67</v>
      </c>
      <c r="D273" s="63">
        <v>7.7676021041681836E-2</v>
      </c>
      <c r="E273" s="65">
        <v>0.20643179352037366</v>
      </c>
      <c r="F273" s="64">
        <v>0.8</v>
      </c>
      <c r="G273" s="64">
        <v>0.81200000000000006</v>
      </c>
    </row>
    <row r="274" spans="1:7" x14ac:dyDescent="0.25">
      <c r="A274" s="60">
        <v>15.133248250848723</v>
      </c>
      <c r="B274" s="61">
        <v>30</v>
      </c>
      <c r="C274" s="62" t="s">
        <v>67</v>
      </c>
      <c r="D274" s="63">
        <v>9.3211225250018195E-2</v>
      </c>
      <c r="E274" s="65">
        <v>0.24771815222444837</v>
      </c>
      <c r="F274" s="64">
        <v>0.8</v>
      </c>
      <c r="G274" s="64">
        <v>0.81200000000000006</v>
      </c>
    </row>
    <row r="275" spans="1:7" x14ac:dyDescent="0.25">
      <c r="A275" s="60">
        <v>17.655456292656844</v>
      </c>
      <c r="B275" s="61">
        <v>35</v>
      </c>
      <c r="C275" s="62" t="s">
        <v>67</v>
      </c>
      <c r="D275" s="63">
        <v>0.10874642945835457</v>
      </c>
      <c r="E275" s="65">
        <v>0.28900451092852308</v>
      </c>
      <c r="F275" s="64">
        <v>0.8</v>
      </c>
      <c r="G275" s="64">
        <v>0.81200000000000006</v>
      </c>
    </row>
    <row r="276" spans="1:7" x14ac:dyDescent="0.25">
      <c r="A276" s="60">
        <v>20.177664334464964</v>
      </c>
      <c r="B276" s="61">
        <v>40</v>
      </c>
      <c r="C276" s="62" t="s">
        <v>67</v>
      </c>
      <c r="D276" s="63">
        <v>0.12428163366669093</v>
      </c>
      <c r="E276" s="65">
        <v>0.33029086963259785</v>
      </c>
      <c r="F276" s="64">
        <v>0.8</v>
      </c>
      <c r="G276" s="64">
        <v>0.81200000000000006</v>
      </c>
    </row>
    <row r="277" spans="1:7" x14ac:dyDescent="0.25">
      <c r="A277" s="66">
        <v>8.7528501468290614</v>
      </c>
      <c r="B277" s="67">
        <v>20</v>
      </c>
      <c r="C277" s="68" t="s">
        <v>197</v>
      </c>
      <c r="D277" s="69">
        <v>1.4552614868954362E-2</v>
      </c>
      <c r="E277" s="27">
        <v>2.8664770594541707E-2</v>
      </c>
      <c r="F277" s="26">
        <v>0.8</v>
      </c>
      <c r="G277" s="26">
        <v>0.34300000000000003</v>
      </c>
    </row>
    <row r="278" spans="1:7" x14ac:dyDescent="0.25">
      <c r="A278" s="66">
        <v>11.888316400408007</v>
      </c>
      <c r="B278" s="67">
        <v>25</v>
      </c>
      <c r="C278" s="68" t="s">
        <v>197</v>
      </c>
      <c r="D278" s="69">
        <v>3.3820935737924614E-2</v>
      </c>
      <c r="E278" s="27">
        <v>6.6618224487514713E-2</v>
      </c>
      <c r="F278" s="26">
        <v>0.8</v>
      </c>
      <c r="G278" s="26">
        <v>0.34300000000000003</v>
      </c>
    </row>
    <row r="279" spans="1:7" x14ac:dyDescent="0.25">
      <c r="A279" s="66">
        <v>14.265979680489608</v>
      </c>
      <c r="B279" s="67">
        <v>30</v>
      </c>
      <c r="C279" s="68" t="s">
        <v>197</v>
      </c>
      <c r="D279" s="69">
        <v>4.0585122885509535E-2</v>
      </c>
      <c r="E279" s="27">
        <v>7.9941869385017642E-2</v>
      </c>
      <c r="F279" s="26">
        <v>0.8</v>
      </c>
      <c r="G279" s="26">
        <v>0.34300000000000003</v>
      </c>
    </row>
    <row r="280" spans="1:7" x14ac:dyDescent="0.25">
      <c r="A280" s="66">
        <v>17.319530492270541</v>
      </c>
      <c r="B280" s="67">
        <v>35</v>
      </c>
      <c r="C280" s="68" t="s">
        <v>197</v>
      </c>
      <c r="D280" s="69">
        <v>7.1138125670237848E-2</v>
      </c>
      <c r="E280" s="27">
        <v>0.14012313740352317</v>
      </c>
      <c r="F280" s="26">
        <v>0.8</v>
      </c>
      <c r="G280" s="26">
        <v>0.34300000000000003</v>
      </c>
    </row>
    <row r="281" spans="1:7" x14ac:dyDescent="0.25">
      <c r="A281" s="66">
        <v>19.793749134023475</v>
      </c>
      <c r="B281" s="67">
        <v>40</v>
      </c>
      <c r="C281" s="68" t="s">
        <v>197</v>
      </c>
      <c r="D281" s="69">
        <v>8.1300715051700403E-2</v>
      </c>
      <c r="E281" s="27">
        <v>0.16014072846116933</v>
      </c>
      <c r="F281" s="26">
        <v>0.8</v>
      </c>
      <c r="G281" s="26">
        <v>0.34300000000000003</v>
      </c>
    </row>
    <row r="282" spans="1:7" x14ac:dyDescent="0.25">
      <c r="A282" s="60">
        <v>10.060868252930229</v>
      </c>
      <c r="B282" s="61">
        <v>20</v>
      </c>
      <c r="C282" s="62" t="s">
        <v>72</v>
      </c>
      <c r="D282" s="63">
        <v>2.6976298890617898E-2</v>
      </c>
      <c r="E282" s="65">
        <v>5.1766168756151212E-2</v>
      </c>
      <c r="F282" s="64">
        <v>0.9</v>
      </c>
      <c r="G282" s="64">
        <v>0.16300000000000001</v>
      </c>
    </row>
    <row r="283" spans="1:7" x14ac:dyDescent="0.25">
      <c r="A283" s="60">
        <v>14.045022724846767</v>
      </c>
      <c r="B283" s="61">
        <v>25</v>
      </c>
      <c r="C283" s="62" t="s">
        <v>72</v>
      </c>
      <c r="D283" s="63">
        <v>3.295231159662796E-2</v>
      </c>
      <c r="E283" s="65">
        <v>6.3233838338349224E-2</v>
      </c>
      <c r="F283" s="64">
        <v>0.9</v>
      </c>
      <c r="G283" s="64">
        <v>0.16300000000000001</v>
      </c>
    </row>
    <row r="284" spans="1:7" x14ac:dyDescent="0.25">
      <c r="A284" s="60">
        <v>17.94172527630257</v>
      </c>
      <c r="B284" s="61">
        <v>30</v>
      </c>
      <c r="C284" s="62" t="s">
        <v>72</v>
      </c>
      <c r="D284" s="63">
        <v>4.5592134029955503E-2</v>
      </c>
      <c r="E284" s="65">
        <v>8.7489025596783121E-2</v>
      </c>
      <c r="F284" s="64">
        <v>0.9</v>
      </c>
      <c r="G284" s="64">
        <v>0.16300000000000001</v>
      </c>
    </row>
    <row r="285" spans="1:7" x14ac:dyDescent="0.25">
      <c r="A285" s="60">
        <v>21.818136481794323</v>
      </c>
      <c r="B285" s="61">
        <v>35</v>
      </c>
      <c r="C285" s="62" t="s">
        <v>72</v>
      </c>
      <c r="D285" s="63">
        <v>6.0733508148132463E-2</v>
      </c>
      <c r="E285" s="65">
        <v>0.1165445654608588</v>
      </c>
      <c r="F285" s="64">
        <v>0.9</v>
      </c>
      <c r="G285" s="64">
        <v>0.16300000000000001</v>
      </c>
    </row>
    <row r="286" spans="1:7" x14ac:dyDescent="0.25">
      <c r="A286" s="60">
        <v>24.935013122050655</v>
      </c>
      <c r="B286" s="61">
        <v>40</v>
      </c>
      <c r="C286" s="62" t="s">
        <v>72</v>
      </c>
      <c r="D286" s="63">
        <v>6.9409723597865666E-2</v>
      </c>
      <c r="E286" s="65">
        <v>0.13319378909812432</v>
      </c>
      <c r="F286" s="64">
        <v>0.9</v>
      </c>
      <c r="G286" s="64">
        <v>0.16300000000000001</v>
      </c>
    </row>
    <row r="289" spans="2:4" x14ac:dyDescent="0.25">
      <c r="B289" s="313">
        <v>20</v>
      </c>
      <c r="C289" s="20">
        <v>0.21841359949394204</v>
      </c>
      <c r="D289">
        <v>0.33838309337864286</v>
      </c>
    </row>
    <row r="290" spans="2:4" x14ac:dyDescent="0.25">
      <c r="B290" s="313">
        <v>25</v>
      </c>
      <c r="C290" s="20">
        <v>0.51973169525491636</v>
      </c>
      <c r="D290">
        <v>0.80520818838555264</v>
      </c>
    </row>
    <row r="291" spans="2:4" x14ac:dyDescent="0.25">
      <c r="B291" s="313">
        <v>30</v>
      </c>
      <c r="C291" s="20">
        <v>0.75996873280127686</v>
      </c>
      <c r="D291">
        <v>1.1774018251252529</v>
      </c>
    </row>
    <row r="292" spans="2:4" x14ac:dyDescent="0.25">
      <c r="B292" s="313">
        <v>35</v>
      </c>
      <c r="C292" s="20">
        <v>1.0033584896898251</v>
      </c>
      <c r="D292">
        <v>1.5544798963783533</v>
      </c>
    </row>
    <row r="293" spans="2:4" x14ac:dyDescent="0.25">
      <c r="B293" s="313">
        <v>40</v>
      </c>
      <c r="C293" s="20">
        <v>1.3062334225151486</v>
      </c>
      <c r="D293">
        <v>2.0237169627228608</v>
      </c>
    </row>
  </sheetData>
  <autoFilter ref="A1:G286" xr:uid="{00000000-0009-0000-0000-000009000000}"/>
  <phoneticPr fontId="7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dimension ref="A1:P96"/>
  <sheetViews>
    <sheetView topLeftCell="A64" workbookViewId="0">
      <selection activeCell="M35" sqref="M35"/>
    </sheetView>
  </sheetViews>
  <sheetFormatPr baseColWidth="10" defaultColWidth="26.7109375" defaultRowHeight="15" x14ac:dyDescent="0.25"/>
  <cols>
    <col min="1" max="1" width="25.140625" bestFit="1" customWidth="1"/>
    <col min="2" max="2" width="6.5703125" bestFit="1" customWidth="1"/>
    <col min="3" max="3" width="5.5703125" bestFit="1" customWidth="1"/>
    <col min="4" max="4" width="2" bestFit="1" customWidth="1"/>
    <col min="5" max="6" width="7.7109375" bestFit="1" customWidth="1"/>
    <col min="7" max="7" width="8.5703125" bestFit="1" customWidth="1"/>
    <col min="8" max="8" width="9.7109375" bestFit="1" customWidth="1"/>
    <col min="9" max="9" width="10.85546875" bestFit="1" customWidth="1"/>
    <col min="10" max="10" width="7.42578125" bestFit="1" customWidth="1"/>
    <col min="11" max="11" width="7.7109375" bestFit="1" customWidth="1"/>
    <col min="12" max="12" width="8.5703125" bestFit="1" customWidth="1"/>
    <col min="13" max="13" width="17" bestFit="1" customWidth="1"/>
    <col min="14" max="14" width="7.5703125" bestFit="1" customWidth="1"/>
    <col min="15" max="15" width="8.140625" bestFit="1" customWidth="1"/>
    <col min="16" max="103" width="11" customWidth="1"/>
  </cols>
  <sheetData>
    <row r="1" spans="1:16" ht="28.5" x14ac:dyDescent="0.25">
      <c r="A1" s="37" t="s">
        <v>93</v>
      </c>
      <c r="B1" s="38" t="s">
        <v>142</v>
      </c>
      <c r="C1" s="38" t="s">
        <v>143</v>
      </c>
      <c r="D1" s="38" t="s">
        <v>144</v>
      </c>
      <c r="E1" s="39" t="s">
        <v>145</v>
      </c>
      <c r="F1" s="39" t="s">
        <v>146</v>
      </c>
      <c r="G1" s="39" t="s">
        <v>147</v>
      </c>
      <c r="H1" s="39" t="s">
        <v>148</v>
      </c>
      <c r="I1" s="39" t="s">
        <v>211</v>
      </c>
      <c r="J1" s="39" t="s">
        <v>150</v>
      </c>
      <c r="K1" s="39" t="s">
        <v>151</v>
      </c>
      <c r="L1" s="39" t="s">
        <v>152</v>
      </c>
      <c r="M1" s="40" t="s">
        <v>153</v>
      </c>
      <c r="N1" s="40" t="s">
        <v>154</v>
      </c>
      <c r="O1" s="41" t="s">
        <v>155</v>
      </c>
      <c r="P1" s="41" t="s">
        <v>210</v>
      </c>
    </row>
    <row r="2" spans="1:16" x14ac:dyDescent="0.25">
      <c r="A2" s="103" t="s">
        <v>3</v>
      </c>
      <c r="B2" s="6">
        <v>40</v>
      </c>
      <c r="C2" s="6">
        <v>10</v>
      </c>
      <c r="D2" s="42"/>
      <c r="E2" s="43">
        <f>0.0189*POWER(B2,2)*C2</f>
        <v>302.40000000000003</v>
      </c>
      <c r="F2" s="43"/>
      <c r="G2" s="43">
        <f>0.0584*POWER(B2,2)</f>
        <v>93.44</v>
      </c>
      <c r="H2" s="43"/>
      <c r="I2" s="43">
        <f>0.0371*POWER(B2,2)+0.968*C2</f>
        <v>69.039999999999992</v>
      </c>
      <c r="J2" s="43"/>
      <c r="K2" s="43"/>
      <c r="L2" s="43"/>
      <c r="M2" s="43">
        <f t="shared" ref="M2:M30" si="0">E2+F2+G2+H2+I2+J2+K2</f>
        <v>464.88</v>
      </c>
      <c r="N2" s="43">
        <f>0.101*POWER(B2,2)</f>
        <v>161.60000000000002</v>
      </c>
      <c r="O2" s="33">
        <f>M2+N2</f>
        <v>626.48</v>
      </c>
      <c r="P2" s="50">
        <f>O2*0.5*44/12</f>
        <v>1148.5466666666669</v>
      </c>
    </row>
    <row r="3" spans="1:16" x14ac:dyDescent="0.25">
      <c r="A3" s="103" t="s">
        <v>167</v>
      </c>
      <c r="B3" s="6">
        <v>40</v>
      </c>
      <c r="C3" s="6">
        <v>10</v>
      </c>
      <c r="D3" s="42">
        <f>IF(B3&gt;32.5,1,0)</f>
        <v>1</v>
      </c>
      <c r="E3" s="43">
        <f>0.0096*POWER(B3,2)*C3</f>
        <v>153.6</v>
      </c>
      <c r="F3" s="43"/>
      <c r="G3" s="43">
        <f>(1.637*POWER((B3-32.5),2)-0.0719*POWER((B3-32.5),2)*C3)*D3</f>
        <v>51.637499999999989</v>
      </c>
      <c r="H3" s="43">
        <f>0.00344*POWER(B3,2)*C3</f>
        <v>55.039999999999992</v>
      </c>
      <c r="I3" s="43">
        <f>0.131*B3*C3</f>
        <v>52.400000000000006</v>
      </c>
      <c r="J3" s="43"/>
      <c r="K3" s="43"/>
      <c r="L3" s="43"/>
      <c r="M3" s="43"/>
      <c r="N3" s="43"/>
      <c r="O3" s="33"/>
      <c r="P3" s="50"/>
    </row>
    <row r="4" spans="1:16" s="4" customFormat="1" x14ac:dyDescent="0.25">
      <c r="A4" s="103" t="s">
        <v>0</v>
      </c>
      <c r="B4" s="6">
        <v>40</v>
      </c>
      <c r="C4" s="6">
        <v>10</v>
      </c>
      <c r="D4" s="42"/>
      <c r="E4" s="43">
        <f>0.0191*POWER(B4,2)*C4</f>
        <v>305.59999999999997</v>
      </c>
      <c r="F4" s="43"/>
      <c r="G4" s="43">
        <f>0.0512*POWER(B4,2)</f>
        <v>81.92</v>
      </c>
      <c r="H4" s="43"/>
      <c r="I4" s="43">
        <f>0.0567*B4*C4</f>
        <v>22.68</v>
      </c>
      <c r="J4" s="43"/>
      <c r="K4" s="43"/>
      <c r="L4" s="43"/>
      <c r="M4" s="43">
        <f t="shared" si="0"/>
        <v>410.2</v>
      </c>
      <c r="N4" s="43">
        <f>0.214*POWER(B4,2)</f>
        <v>342.4</v>
      </c>
      <c r="O4" s="33">
        <f t="shared" ref="O4:O30" si="1">M4+N4</f>
        <v>752.59999999999991</v>
      </c>
      <c r="P4" s="50">
        <f t="shared" ref="P4:P30" si="2">O4*0.5*44/12</f>
        <v>1379.7666666666664</v>
      </c>
    </row>
    <row r="5" spans="1:16" x14ac:dyDescent="0.25">
      <c r="A5" s="44" t="s">
        <v>156</v>
      </c>
      <c r="B5" s="6">
        <v>40</v>
      </c>
      <c r="C5" s="6">
        <v>10</v>
      </c>
      <c r="D5" s="42"/>
      <c r="E5" s="43">
        <f>-3.824+0.01709*POWER(B5,2)*C5</f>
        <v>269.61599999999999</v>
      </c>
      <c r="F5" s="43">
        <f>0.00165*POWER(B5,2.392)*POWER(C5,0.761)</f>
        <v>64.656388622730887</v>
      </c>
      <c r="G5" s="43">
        <f>0.04649*POWER(B5,2.183)</f>
        <v>146.10211646294536</v>
      </c>
      <c r="H5" s="43"/>
      <c r="I5" s="43">
        <f>0.01246*POWER(B5,2.44)</f>
        <v>101.05188546563815</v>
      </c>
      <c r="J5" s="43">
        <f>0.01908*POWER(B5,2)</f>
        <v>30.527999999999999</v>
      </c>
      <c r="K5" s="43">
        <f>0.001016*POWER(B5,2)*C5</f>
        <v>16.256</v>
      </c>
      <c r="L5" s="43"/>
      <c r="M5" s="43">
        <f t="shared" si="0"/>
        <v>628.21039055131439</v>
      </c>
      <c r="N5" s="43">
        <f>1.042*POWER(B5,1.254)</f>
        <v>106.3777861994793</v>
      </c>
      <c r="O5" s="33">
        <f t="shared" si="1"/>
        <v>734.58817675079365</v>
      </c>
      <c r="P5" s="50">
        <f t="shared" si="2"/>
        <v>1346.7449907097882</v>
      </c>
    </row>
    <row r="6" spans="1:16" s="4" customFormat="1" x14ac:dyDescent="0.25">
      <c r="A6" s="103" t="s">
        <v>10</v>
      </c>
      <c r="B6" s="6">
        <v>40</v>
      </c>
      <c r="C6" s="6">
        <v>10</v>
      </c>
      <c r="D6" s="42">
        <f>IF(B6&gt;12.5,1,0)</f>
        <v>1</v>
      </c>
      <c r="E6" s="43">
        <f>0.0142*POWER(B6,2)*C6</f>
        <v>227.20000000000002</v>
      </c>
      <c r="F6" s="43"/>
      <c r="G6" s="43">
        <f>0.223*POWER((B6-12.5),2)*D6</f>
        <v>168.64375000000001</v>
      </c>
      <c r="H6" s="43">
        <f>0.23*B6*C6</f>
        <v>92.000000000000014</v>
      </c>
      <c r="I6" s="43">
        <f>0.221*B6*C6</f>
        <v>88.4</v>
      </c>
      <c r="J6" s="43"/>
      <c r="K6" s="43"/>
      <c r="L6" s="43"/>
      <c r="M6" s="43">
        <f t="shared" si="0"/>
        <v>576.24374999999998</v>
      </c>
      <c r="N6" s="43">
        <f>0.0211*POWER(B6,2.804)</f>
        <v>655.32791951357524</v>
      </c>
      <c r="O6" s="33">
        <f t="shared" si="1"/>
        <v>1231.5716695135752</v>
      </c>
      <c r="P6" s="50">
        <f t="shared" si="2"/>
        <v>2257.8813941082212</v>
      </c>
    </row>
    <row r="7" spans="1:16" x14ac:dyDescent="0.25">
      <c r="A7" s="103" t="s">
        <v>157</v>
      </c>
      <c r="B7" s="6">
        <v>40</v>
      </c>
      <c r="C7" s="6">
        <v>10</v>
      </c>
      <c r="D7" s="42"/>
      <c r="E7" s="43">
        <f>0.142*POWER(B7,1.974)</f>
        <v>206.42142283778551</v>
      </c>
      <c r="F7" s="43"/>
      <c r="G7" s="43">
        <f>0.104*POWER(B7,2)</f>
        <v>166.4</v>
      </c>
      <c r="H7" s="43">
        <f>0.0538*POWER(C7,2)</f>
        <v>5.38</v>
      </c>
      <c r="I7" s="43">
        <f>0.151*POWER(B7,2)-0.0074*POWER(B7,2)*C7</f>
        <v>123.19999999999999</v>
      </c>
      <c r="J7" s="43"/>
      <c r="K7" s="43"/>
      <c r="L7" s="43"/>
      <c r="M7" s="43">
        <f t="shared" si="0"/>
        <v>501.4014228377855</v>
      </c>
      <c r="N7" s="43">
        <f>0.335*POWER(B7,2)</f>
        <v>536</v>
      </c>
      <c r="O7" s="33">
        <f t="shared" si="1"/>
        <v>1037.4014228377855</v>
      </c>
      <c r="P7" s="50">
        <f t="shared" si="2"/>
        <v>1901.9026085359401</v>
      </c>
    </row>
    <row r="8" spans="1:16" s="4" customFormat="1" x14ac:dyDescent="0.25">
      <c r="A8" s="103" t="s">
        <v>23</v>
      </c>
      <c r="B8" s="6">
        <v>40</v>
      </c>
      <c r="C8" s="6">
        <v>10</v>
      </c>
      <c r="D8" s="42"/>
      <c r="E8" s="43">
        <f>0.0221*POWER(B8,2)*C8</f>
        <v>353.6</v>
      </c>
      <c r="F8" s="43"/>
      <c r="G8" s="43"/>
      <c r="H8" s="43">
        <f>0.154*POWER(B8,1.668)</f>
        <v>72.403037497251546</v>
      </c>
      <c r="I8" s="43">
        <f>0.18*POWER((POWER(B8,2)*C8),0.587)</f>
        <v>52.855591207872543</v>
      </c>
      <c r="J8" s="43"/>
      <c r="K8" s="43"/>
      <c r="L8" s="43"/>
      <c r="M8" s="43">
        <f t="shared" si="0"/>
        <v>478.85862870512409</v>
      </c>
      <c r="N8" s="42">
        <f>IF(B8&lt;22.5,170.3,(IF(B8&lt;42.5,199.5,229.4)))</f>
        <v>199.5</v>
      </c>
      <c r="O8" s="33">
        <f t="shared" si="1"/>
        <v>678.35862870512415</v>
      </c>
      <c r="P8" s="50">
        <f t="shared" si="2"/>
        <v>1243.6574859593943</v>
      </c>
    </row>
    <row r="9" spans="1:16" x14ac:dyDescent="0.25">
      <c r="A9" s="44" t="s">
        <v>158</v>
      </c>
      <c r="B9" s="6">
        <v>40</v>
      </c>
      <c r="C9" s="6">
        <v>10</v>
      </c>
      <c r="D9" s="42"/>
      <c r="E9" s="43">
        <f>0.0094*POWER(B9,2.033)*POWER(C9,1.056)</f>
        <v>193.24835955440861</v>
      </c>
      <c r="F9" s="43">
        <f>0.01342*POWER(B9,2.361)</f>
        <v>81.323517569768967</v>
      </c>
      <c r="G9" s="43"/>
      <c r="H9" s="43">
        <f>0.000059*POWER(B9,3.76)</f>
        <v>62.315714516081009</v>
      </c>
      <c r="I9" s="43">
        <f>0.0128*POWER(B9,1.858)</f>
        <v>12.129347359646987</v>
      </c>
      <c r="J9" s="43">
        <f>0.000922*POWER(B9,2.632)</f>
        <v>15.182833108168888</v>
      </c>
      <c r="K9" s="43">
        <f>0.0053*POWER(B9,2.393)</f>
        <v>36.141438043058841</v>
      </c>
      <c r="L9" s="43">
        <f>0.1451*POWER(B9,1.403)</f>
        <v>25.665963970289244</v>
      </c>
      <c r="M9" s="43">
        <f t="shared" si="0"/>
        <v>400.34121015113334</v>
      </c>
      <c r="N9" s="42">
        <f>IF(B9&lt;22.5,170.3,(IF(B9&lt;42.5,199.5,229.4)))</f>
        <v>199.5</v>
      </c>
      <c r="O9" s="33">
        <f t="shared" si="1"/>
        <v>599.84121015113328</v>
      </c>
      <c r="P9" s="50">
        <f t="shared" si="2"/>
        <v>1099.7088852770778</v>
      </c>
    </row>
    <row r="10" spans="1:16" s="4" customFormat="1" x14ac:dyDescent="0.25">
      <c r="A10" s="44" t="s">
        <v>159</v>
      </c>
      <c r="B10" s="6">
        <v>40</v>
      </c>
      <c r="C10" s="6">
        <v>10</v>
      </c>
      <c r="D10" s="42">
        <f>IF(B10&gt;22.5,1,0)</f>
        <v>1</v>
      </c>
      <c r="E10" s="43">
        <f>0.0676*POWER(B10,2)+0.0182*POWER(B10,2)*C10</f>
        <v>399.36</v>
      </c>
      <c r="F10" s="43"/>
      <c r="G10" s="43">
        <f>(0.83*POWER((B10-22.5),2)-0.0248*POWER((B10-22.5),2)*C10)*D10</f>
        <v>178.23750000000001</v>
      </c>
      <c r="H10" s="43">
        <f>0.0792*POWER(B10,2)</f>
        <v>126.72000000000001</v>
      </c>
      <c r="I10" s="43">
        <f>0.093*POWER(B10,2)-0.00226*POWER(B10,2)*C10</f>
        <v>112.64000000000001</v>
      </c>
      <c r="J10" s="43"/>
      <c r="K10" s="43"/>
      <c r="L10" s="43"/>
      <c r="M10" s="43">
        <f t="shared" si="0"/>
        <v>816.9575000000001</v>
      </c>
      <c r="N10" s="43">
        <f>12.143*POWER(B10,1.111)</f>
        <v>731.50053043431353</v>
      </c>
      <c r="O10" s="33">
        <f t="shared" si="1"/>
        <v>1548.4580304343135</v>
      </c>
      <c r="P10" s="50">
        <f t="shared" si="2"/>
        <v>2838.839722462908</v>
      </c>
    </row>
    <row r="11" spans="1:16" x14ac:dyDescent="0.25">
      <c r="A11" s="103" t="s">
        <v>160</v>
      </c>
      <c r="B11" s="6">
        <v>40</v>
      </c>
      <c r="C11" s="6">
        <v>10</v>
      </c>
      <c r="D11" s="42">
        <f>IF(B11&gt;22.5,1,0)</f>
        <v>1</v>
      </c>
      <c r="E11" s="43">
        <f>0.0676*POWER(B11,2)+0.0182*POWER(B11,2)*C11</f>
        <v>399.36</v>
      </c>
      <c r="F11" s="43"/>
      <c r="G11" s="43">
        <f>(0.83*POWER((B11-22.5),2)-0.0248*POWER((B11-22.5),2)*C11)*D11</f>
        <v>178.23750000000001</v>
      </c>
      <c r="H11" s="43">
        <f>0.0792*POWER(B11,2)</f>
        <v>126.72000000000001</v>
      </c>
      <c r="I11" s="43">
        <f>0.093*POWER(B11,2)-0.00226*POWER(B11,2)*C11</f>
        <v>112.64000000000001</v>
      </c>
      <c r="J11" s="43"/>
      <c r="K11" s="43"/>
      <c r="L11" s="43"/>
      <c r="M11" s="43">
        <f t="shared" si="0"/>
        <v>816.9575000000001</v>
      </c>
      <c r="N11" s="43">
        <f>0.106*POWER(B11,2)</f>
        <v>169.6</v>
      </c>
      <c r="O11" s="33">
        <f t="shared" si="1"/>
        <v>986.55750000000012</v>
      </c>
      <c r="P11" s="50">
        <f t="shared" si="2"/>
        <v>1808.6887500000003</v>
      </c>
    </row>
    <row r="12" spans="1:16" s="4" customFormat="1" x14ac:dyDescent="0.25">
      <c r="A12" s="103" t="s">
        <v>161</v>
      </c>
      <c r="B12" s="6">
        <v>40</v>
      </c>
      <c r="C12" s="6">
        <v>10</v>
      </c>
      <c r="D12" s="42">
        <f>IF(B12&gt;12.5,1,0)</f>
        <v>1</v>
      </c>
      <c r="E12" s="43">
        <f>0.0296*POWER(B12,2)*C12</f>
        <v>473.6</v>
      </c>
      <c r="F12" s="43"/>
      <c r="G12" s="43">
        <f>0.231*POWER((B12-12.5),2)*D12</f>
        <v>174.69374999999999</v>
      </c>
      <c r="H12" s="43">
        <f>0.0925*POWER(B12,2)</f>
        <v>148</v>
      </c>
      <c r="I12" s="43">
        <f>2.005*B12</f>
        <v>80.199999999999989</v>
      </c>
      <c r="J12" s="43"/>
      <c r="K12" s="43"/>
      <c r="L12" s="43"/>
      <c r="M12" s="43">
        <f t="shared" si="0"/>
        <v>876.49375000000009</v>
      </c>
      <c r="N12" s="43">
        <f>0.359*POWER(B12,2)</f>
        <v>574.4</v>
      </c>
      <c r="O12" s="33">
        <f t="shared" si="1"/>
        <v>1450.8937500000002</v>
      </c>
      <c r="P12" s="50">
        <f t="shared" si="2"/>
        <v>2659.9718750000006</v>
      </c>
    </row>
    <row r="13" spans="1:16" x14ac:dyDescent="0.25">
      <c r="A13" s="103" t="s">
        <v>105</v>
      </c>
      <c r="B13" s="6">
        <v>40</v>
      </c>
      <c r="C13" s="6">
        <v>10</v>
      </c>
      <c r="D13" s="42">
        <f>IF(B13&gt;22.5,1,0)</f>
        <v>1</v>
      </c>
      <c r="E13" s="43">
        <f>0.0132*POWER(B13,2)*C13+0.217*B13*C13</f>
        <v>298</v>
      </c>
      <c r="F13" s="43"/>
      <c r="G13" s="43">
        <f>0.107*POWER((B13-22.5),2)*D13</f>
        <v>32.768749999999997</v>
      </c>
      <c r="H13" s="43">
        <f>0.00792*POWER(B13,2)*C13</f>
        <v>126.72</v>
      </c>
      <c r="I13" s="43">
        <f>0.273*B13*C13</f>
        <v>109.20000000000002</v>
      </c>
      <c r="J13" s="43"/>
      <c r="K13" s="43"/>
      <c r="L13" s="43"/>
      <c r="M13" s="43">
        <f t="shared" si="0"/>
        <v>566.68875000000003</v>
      </c>
      <c r="N13" s="43">
        <f>0.0767*POWER(B13,2)</f>
        <v>122.72000000000001</v>
      </c>
      <c r="O13" s="33">
        <f t="shared" si="1"/>
        <v>689.40875000000005</v>
      </c>
      <c r="P13" s="50">
        <f t="shared" si="2"/>
        <v>1263.9160416666666</v>
      </c>
    </row>
    <row r="14" spans="1:16" s="4" customFormat="1" x14ac:dyDescent="0.25">
      <c r="A14" s="44" t="s">
        <v>162</v>
      </c>
      <c r="B14" s="6">
        <v>40</v>
      </c>
      <c r="C14" s="6">
        <v>10</v>
      </c>
      <c r="D14" s="42"/>
      <c r="E14" s="43">
        <f>0.0114*POWER(B14,2)*C14</f>
        <v>182.40000000000003</v>
      </c>
      <c r="F14" s="43"/>
      <c r="G14" s="43">
        <f>0.0108*POWER(B14,2)*C14</f>
        <v>172.8</v>
      </c>
      <c r="H14" s="43">
        <f>1.672*B14</f>
        <v>66.88</v>
      </c>
      <c r="I14" s="43">
        <f>0.0354*POWER(B14,2)+1.187*C14</f>
        <v>68.510000000000005</v>
      </c>
      <c r="J14" s="43"/>
      <c r="K14" s="43"/>
      <c r="L14" s="43"/>
      <c r="M14" s="43">
        <f t="shared" si="0"/>
        <v>490.59000000000003</v>
      </c>
      <c r="N14" s="43">
        <f>0.147*POWER(B14,2)</f>
        <v>235.2</v>
      </c>
      <c r="O14" s="33">
        <f t="shared" si="1"/>
        <v>725.79</v>
      </c>
      <c r="P14" s="50">
        <f t="shared" si="2"/>
        <v>1330.615</v>
      </c>
    </row>
    <row r="15" spans="1:16" s="4" customFormat="1" x14ac:dyDescent="0.25">
      <c r="A15" s="103" t="s">
        <v>42</v>
      </c>
      <c r="B15" s="6">
        <v>40</v>
      </c>
      <c r="C15" s="6">
        <v>10</v>
      </c>
      <c r="D15" s="42">
        <f>IF(B15&gt;32.5,1,0)</f>
        <v>1</v>
      </c>
      <c r="E15" s="43">
        <f>0.0249*POWER(POWER(B15,2.115)*C15,0.975)</f>
        <v>472.98493328873974</v>
      </c>
      <c r="F15" s="43"/>
      <c r="G15" s="43">
        <f>(0.634*POWER((B15-32.5),2))*D15</f>
        <v>35.662500000000001</v>
      </c>
      <c r="H15" s="43">
        <f>0.00162*POWER(B15,2)*C15</f>
        <v>25.919999999999995</v>
      </c>
      <c r="I15" s="43"/>
      <c r="J15" s="43"/>
      <c r="K15" s="43"/>
      <c r="L15" s="43"/>
      <c r="M15" s="43"/>
      <c r="N15" s="43">
        <f>0.155*POWER(B15,2)</f>
        <v>248</v>
      </c>
      <c r="O15" s="33"/>
      <c r="P15" s="50"/>
    </row>
    <row r="16" spans="1:16" x14ac:dyDescent="0.25">
      <c r="A16" s="44" t="s">
        <v>43</v>
      </c>
      <c r="B16" s="6">
        <v>40</v>
      </c>
      <c r="C16" s="6">
        <v>10</v>
      </c>
      <c r="D16" s="42">
        <f>IF(B16&gt;27.5,1,0)</f>
        <v>1</v>
      </c>
      <c r="E16" s="43">
        <f>0.0139*POWER(B16,2)*C16</f>
        <v>222.39999999999998</v>
      </c>
      <c r="F16" s="43"/>
      <c r="G16" s="43">
        <f>3.926*(B16-27.5)*D16</f>
        <v>49.075000000000003</v>
      </c>
      <c r="H16" s="43">
        <f>4.257+0.00506*POWER(B16,2)*C16-0.0722*B16*C16</f>
        <v>56.337000000000018</v>
      </c>
      <c r="I16" s="43">
        <f>6.197+0.00932*POWER(C16,2)*D16-0.0686*C16*D16</f>
        <v>6.4430000000000005</v>
      </c>
      <c r="J16" s="43"/>
      <c r="K16" s="43"/>
      <c r="L16" s="43"/>
      <c r="M16" s="43">
        <f t="shared" si="0"/>
        <v>334.255</v>
      </c>
      <c r="N16" s="43">
        <f>0.0785*POWER(B16,2)</f>
        <v>125.6</v>
      </c>
      <c r="O16" s="33">
        <f t="shared" si="1"/>
        <v>459.85500000000002</v>
      </c>
      <c r="P16" s="50">
        <f t="shared" si="2"/>
        <v>843.06750000000011</v>
      </c>
    </row>
    <row r="17" spans="1:16" x14ac:dyDescent="0.25">
      <c r="A17" s="103" t="s">
        <v>44</v>
      </c>
      <c r="B17" s="6">
        <v>40</v>
      </c>
      <c r="C17" s="6">
        <v>10</v>
      </c>
      <c r="D17" s="42">
        <f>IF(B17&gt;32.5,1,0)</f>
        <v>1</v>
      </c>
      <c r="E17" s="43">
        <f>0.0403*POWER(B17,1.838)*POWER(C17,0.945)</f>
        <v>312.52971089192505</v>
      </c>
      <c r="F17" s="43"/>
      <c r="G17" s="43">
        <f>0.228*POWER((B17-32.5),2)*D17</f>
        <v>12.825000000000001</v>
      </c>
      <c r="H17" s="43">
        <f>0.0521*POWER(B17,2)</f>
        <v>83.36</v>
      </c>
      <c r="I17" s="43">
        <f>0.072*POWER(B17,2)</f>
        <v>115.19999999999999</v>
      </c>
      <c r="J17" s="43"/>
      <c r="K17" s="43"/>
      <c r="L17" s="43"/>
      <c r="M17" s="43">
        <f t="shared" si="0"/>
        <v>523.9147108919251</v>
      </c>
      <c r="N17" s="43">
        <f>0.0189*POWER(B17,2.445)</f>
        <v>156.1343584045832</v>
      </c>
      <c r="O17" s="33">
        <f t="shared" si="1"/>
        <v>680.04906929650826</v>
      </c>
      <c r="P17" s="50">
        <f t="shared" si="2"/>
        <v>1246.7566270435984</v>
      </c>
    </row>
    <row r="18" spans="1:16" x14ac:dyDescent="0.25">
      <c r="A18" s="103" t="s">
        <v>107</v>
      </c>
      <c r="B18" s="6">
        <v>40</v>
      </c>
      <c r="C18" s="6">
        <v>10</v>
      </c>
      <c r="D18" s="42"/>
      <c r="E18" s="43">
        <f>0.0278*POWER(B18,2.115)*POWER(C18,0.618)</f>
        <v>282.09908504618613</v>
      </c>
      <c r="F18" s="43"/>
      <c r="G18" s="43">
        <f>0.000381*POWER(B18,3.141)</f>
        <v>41.019976614097203</v>
      </c>
      <c r="H18" s="43"/>
      <c r="I18" s="43">
        <f>0.0129*POWER(B18,2.32)</f>
        <v>67.19994075655427</v>
      </c>
      <c r="J18" s="43"/>
      <c r="K18" s="43"/>
      <c r="L18" s="43"/>
      <c r="M18" s="43">
        <f t="shared" si="0"/>
        <v>390.31900241683763</v>
      </c>
      <c r="N18" s="43">
        <f>0.00444*POWER(B18,2.804)</f>
        <v>137.8983868549893</v>
      </c>
      <c r="O18" s="33">
        <f t="shared" si="1"/>
        <v>528.21738927182696</v>
      </c>
      <c r="P18" s="50">
        <f t="shared" si="2"/>
        <v>968.39854699834939</v>
      </c>
    </row>
    <row r="19" spans="1:16" x14ac:dyDescent="0.25">
      <c r="A19" s="44" t="s">
        <v>163</v>
      </c>
      <c r="B19" s="6">
        <v>40</v>
      </c>
      <c r="C19" s="6">
        <v>10</v>
      </c>
      <c r="D19" s="42"/>
      <c r="E19" s="43">
        <f>0.3882+0.0115*POWER(B19,2)*C19</f>
        <v>184.38820000000001</v>
      </c>
      <c r="F19" s="43">
        <f>0.0369*POWER(B19,2.0983)*POWER((3.1416*POWER(B19/2,2)),-0.0551)</f>
        <v>57.261448058323367</v>
      </c>
      <c r="G19" s="43">
        <f>3.2019-0.0148*POWER(B19,2)-0.4228*C19+0.0028*POWER(B19,2)*C19</f>
        <v>20.093899999999998</v>
      </c>
      <c r="H19" s="43"/>
      <c r="I19" s="43">
        <f>0.0978*POWER(B19,2.2881)*POWER(C19,-0.9648)+0.0271*POWER(B19,2.5098)*POWER(C19,-0.6949)</f>
        <v>106.51579315721219</v>
      </c>
      <c r="J19" s="43"/>
      <c r="K19" s="43"/>
      <c r="L19" s="43"/>
      <c r="M19" s="43">
        <f t="shared" si="0"/>
        <v>368.25934121553553</v>
      </c>
      <c r="N19" s="43">
        <f>0.0019*POWER(B19,2.1537)</f>
        <v>5.3593263569746066</v>
      </c>
      <c r="O19" s="33">
        <f t="shared" si="1"/>
        <v>373.61866757251016</v>
      </c>
      <c r="P19" s="50">
        <f t="shared" si="2"/>
        <v>684.96755721626869</v>
      </c>
    </row>
    <row r="20" spans="1:16" x14ac:dyDescent="0.25">
      <c r="A20" s="103" t="s">
        <v>46</v>
      </c>
      <c r="B20" s="6">
        <v>40</v>
      </c>
      <c r="C20" s="6">
        <v>10</v>
      </c>
      <c r="D20" s="42">
        <f>IF(B20&gt;22.5,1,0)</f>
        <v>1</v>
      </c>
      <c r="E20" s="43">
        <f>0.0224*POWER(B20,1.923)*POWER(C20,1.0193)</f>
        <v>282.03913994231584</v>
      </c>
      <c r="F20" s="43"/>
      <c r="G20" s="43">
        <f>0.247*POWER((B20-22.5),2)*D20</f>
        <v>75.643749999999997</v>
      </c>
      <c r="H20" s="43">
        <f>0.0525*POWER(B20,2)</f>
        <v>84</v>
      </c>
      <c r="I20" s="43">
        <f>21.927+0.0707*POWER(B20,2)-2.827*C20</f>
        <v>106.777</v>
      </c>
      <c r="J20" s="43"/>
      <c r="K20" s="43"/>
      <c r="L20" s="43"/>
      <c r="M20" s="43">
        <f t="shared" si="0"/>
        <v>548.45988994231584</v>
      </c>
      <c r="N20" s="43">
        <f>0.117*POWER(B20,2)</f>
        <v>187.20000000000002</v>
      </c>
      <c r="O20" s="33">
        <f t="shared" si="1"/>
        <v>735.65988994231589</v>
      </c>
      <c r="P20" s="50">
        <f t="shared" si="2"/>
        <v>1348.7097982275791</v>
      </c>
    </row>
    <row r="21" spans="1:16" x14ac:dyDescent="0.25">
      <c r="A21" s="44" t="s">
        <v>47</v>
      </c>
      <c r="B21" s="6">
        <v>40</v>
      </c>
      <c r="C21" s="6">
        <v>10</v>
      </c>
      <c r="D21" s="42"/>
      <c r="E21" s="43">
        <f>0.0123*POWER(B21,1.6042)*POWER(C21,1.4131)</f>
        <v>118.31225978163843</v>
      </c>
      <c r="F21" s="43">
        <f>0.0036*POWER(B21,2.6564)</f>
        <v>64.86563317404476</v>
      </c>
      <c r="G21" s="43">
        <f>1.937699+0.001065*POWER(B21,2)*C21</f>
        <v>18.977698999999998</v>
      </c>
      <c r="H21" s="43"/>
      <c r="I21" s="43">
        <f>0.0363*POWER(B21,2.6091)*POWER(C21,-0.9417)+0.0423*POWER(B21,1.7141)</f>
        <v>86.400178333400092</v>
      </c>
      <c r="J21" s="43"/>
      <c r="K21" s="43"/>
      <c r="L21" s="43"/>
      <c r="M21" s="43">
        <f t="shared" si="0"/>
        <v>288.55577028908328</v>
      </c>
      <c r="N21" s="43">
        <f>0.0078*POWER(B21,1.9606)</f>
        <v>10.791788409198292</v>
      </c>
      <c r="O21" s="33">
        <f t="shared" si="1"/>
        <v>299.3475586982816</v>
      </c>
      <c r="P21" s="50">
        <f t="shared" si="2"/>
        <v>548.80385761351624</v>
      </c>
    </row>
    <row r="22" spans="1:16" x14ac:dyDescent="0.25">
      <c r="A22" s="103" t="s">
        <v>48</v>
      </c>
      <c r="B22" s="6">
        <v>40</v>
      </c>
      <c r="C22" s="6">
        <v>10</v>
      </c>
      <c r="D22" s="42">
        <f>IF(B22&gt;37.5,1,0)</f>
        <v>1</v>
      </c>
      <c r="E22" s="43">
        <f>0.0154*POWER(B22,2)*C22</f>
        <v>246.4</v>
      </c>
      <c r="F22" s="43"/>
      <c r="G22" s="43">
        <f>(0.54*POWER((B22-37.5),2)-0.0119*POWER((B22-37.5),2)*C22)*D22</f>
        <v>2.6312499999999996</v>
      </c>
      <c r="H22" s="43">
        <f>0.0295*POWER(B22,2.742)*POWER(C22,-0.899)</f>
        <v>91.975151570470118</v>
      </c>
      <c r="I22" s="43">
        <f>0.53*POWER(B22,2.199)*POWER(C22,-1.153)</f>
        <v>124.22408042163688</v>
      </c>
      <c r="J22" s="43"/>
      <c r="K22" s="43"/>
      <c r="L22" s="43"/>
      <c r="M22" s="43">
        <f t="shared" si="0"/>
        <v>465.230481992107</v>
      </c>
      <c r="N22" s="43">
        <f>0.13*POWER(B22,2)</f>
        <v>208</v>
      </c>
      <c r="O22" s="33">
        <f t="shared" si="1"/>
        <v>673.230481992107</v>
      </c>
      <c r="P22" s="50">
        <f t="shared" si="2"/>
        <v>1234.2558836521962</v>
      </c>
    </row>
    <row r="23" spans="1:16" x14ac:dyDescent="0.25">
      <c r="A23" s="44" t="s">
        <v>49</v>
      </c>
      <c r="B23" s="6">
        <v>40</v>
      </c>
      <c r="C23" s="6">
        <v>10</v>
      </c>
      <c r="D23" s="42"/>
      <c r="E23" s="104">
        <f>0.0203*POWER(B23,2)*C23</f>
        <v>324.79999999999995</v>
      </c>
      <c r="F23" s="43"/>
      <c r="G23" s="43">
        <f>0.0379*POWER(B23,2)</f>
        <v>60.640000000000008</v>
      </c>
      <c r="H23" s="43"/>
      <c r="I23" s="43">
        <f>2.74*B23-2.64*C23</f>
        <v>83.2</v>
      </c>
      <c r="J23" s="43"/>
      <c r="K23" s="43"/>
      <c r="L23" s="43"/>
      <c r="M23" s="43">
        <f t="shared" si="0"/>
        <v>468.63999999999993</v>
      </c>
      <c r="N23" s="43">
        <f>0.193*POWER(B23,2)</f>
        <v>308.8</v>
      </c>
      <c r="O23" s="33">
        <f t="shared" si="1"/>
        <v>777.43999999999994</v>
      </c>
      <c r="P23" s="50">
        <f t="shared" si="2"/>
        <v>1425.3066666666666</v>
      </c>
    </row>
    <row r="24" spans="1:16" x14ac:dyDescent="0.25">
      <c r="A24" s="103" t="s">
        <v>164</v>
      </c>
      <c r="B24" s="6">
        <v>40</v>
      </c>
      <c r="C24" s="6">
        <v>10</v>
      </c>
      <c r="D24" s="42">
        <f>IF(B24&gt;22.5,1,0)</f>
        <v>1</v>
      </c>
      <c r="E24" s="43">
        <f>0.013*POWER(B24,2)*C24</f>
        <v>208</v>
      </c>
      <c r="F24" s="43"/>
      <c r="G24" s="43">
        <f>(0.538*POWER((B24-22.5),2)-0.013*POWER((B24-22.5),2)*C24)*D24</f>
        <v>124.95000000000002</v>
      </c>
      <c r="H24" s="43">
        <f>0.0385*POWER(B24,2)</f>
        <v>61.6</v>
      </c>
      <c r="I24" s="43">
        <f>0.0774*POWER(B24,2)-0.00198*POWER(B24,2)*C24</f>
        <v>92.16</v>
      </c>
      <c r="J24" s="43"/>
      <c r="K24" s="43"/>
      <c r="L24" s="43"/>
      <c r="M24" s="43">
        <f t="shared" si="0"/>
        <v>486.71000000000004</v>
      </c>
      <c r="N24" s="43">
        <f>0.122*POWER(B24,2)</f>
        <v>195.2</v>
      </c>
      <c r="O24" s="33">
        <f t="shared" si="1"/>
        <v>681.91000000000008</v>
      </c>
      <c r="P24" s="50">
        <f t="shared" si="2"/>
        <v>1250.1683333333335</v>
      </c>
    </row>
    <row r="25" spans="1:16" x14ac:dyDescent="0.25">
      <c r="A25" s="103" t="s">
        <v>165</v>
      </c>
      <c r="B25" s="6">
        <v>40</v>
      </c>
      <c r="C25" s="6">
        <v>10</v>
      </c>
      <c r="D25" s="42"/>
      <c r="E25" s="43">
        <f>0.0126*POWER(B25,2)*C25</f>
        <v>201.6</v>
      </c>
      <c r="F25" s="43"/>
      <c r="G25" s="43">
        <f>0.103*POWER(B25,2)</f>
        <v>164.79999999999998</v>
      </c>
      <c r="H25" s="43">
        <f>0.167*B25*C25</f>
        <v>66.800000000000011</v>
      </c>
      <c r="I25" s="43"/>
      <c r="J25" s="43"/>
      <c r="K25" s="43"/>
      <c r="L25" s="43"/>
      <c r="M25" s="43">
        <f t="shared" si="0"/>
        <v>433.2</v>
      </c>
      <c r="N25" s="43">
        <f>0.135*POWER(B25,2)</f>
        <v>216</v>
      </c>
      <c r="O25" s="33">
        <f t="shared" si="1"/>
        <v>649.20000000000005</v>
      </c>
      <c r="P25" s="50">
        <f t="shared" si="2"/>
        <v>1190.2</v>
      </c>
    </row>
    <row r="26" spans="1:16" x14ac:dyDescent="0.25">
      <c r="A26" s="103" t="s">
        <v>57</v>
      </c>
      <c r="B26" s="6">
        <v>40</v>
      </c>
      <c r="C26" s="6">
        <v>10</v>
      </c>
      <c r="D26" s="42"/>
      <c r="E26" s="43">
        <f>0.154*POWER(B26,2)</f>
        <v>246.4</v>
      </c>
      <c r="F26" s="43"/>
      <c r="G26" s="43">
        <f>0.0861*POWER(B26,2)</f>
        <v>137.76</v>
      </c>
      <c r="H26" s="43">
        <f>0.127*POWER(B26,2)-0.00598*POWER(B26,2)*C26</f>
        <v>107.52</v>
      </c>
      <c r="I26" s="43">
        <f>0.0726*POWER(B26,2)-0.00275*POWER(B26,2)*C26</f>
        <v>72.16</v>
      </c>
      <c r="J26" s="43"/>
      <c r="K26" s="43"/>
      <c r="L26" s="43"/>
      <c r="M26" s="43">
        <f t="shared" si="0"/>
        <v>563.83999999999992</v>
      </c>
      <c r="N26" s="43">
        <f>0.169*POWER(B26,2)</f>
        <v>270.40000000000003</v>
      </c>
      <c r="O26" s="33">
        <f t="shared" si="1"/>
        <v>834.24</v>
      </c>
      <c r="P26" s="50">
        <f t="shared" si="2"/>
        <v>1529.4399999999998</v>
      </c>
    </row>
    <row r="27" spans="1:16" x14ac:dyDescent="0.25">
      <c r="A27" s="103" t="s">
        <v>58</v>
      </c>
      <c r="B27" s="6">
        <v>40</v>
      </c>
      <c r="C27" s="6">
        <v>10</v>
      </c>
      <c r="D27" s="42">
        <f>IF(B27&gt;12.5,1,0)</f>
        <v>1</v>
      </c>
      <c r="E27" s="43">
        <f>0.143*POWER(B27,2)</f>
        <v>228.79999999999998</v>
      </c>
      <c r="F27" s="43"/>
      <c r="G27" s="43">
        <f>(0.0684*POWER((B27-12.5),2)*C27)*D27</f>
        <v>517.27499999999998</v>
      </c>
      <c r="H27" s="43">
        <f>0.0898*POWER(B27,2)</f>
        <v>143.68</v>
      </c>
      <c r="I27" s="43">
        <f>0.0823*POWER(B27,2)</f>
        <v>131.68</v>
      </c>
      <c r="J27" s="43"/>
      <c r="K27" s="43"/>
      <c r="L27" s="43"/>
      <c r="M27" s="43">
        <f t="shared" si="0"/>
        <v>1021.4349999999999</v>
      </c>
      <c r="N27" s="43">
        <f>0.254*POWER(B27,2)</f>
        <v>406.4</v>
      </c>
      <c r="O27" s="33">
        <f t="shared" si="1"/>
        <v>1427.835</v>
      </c>
      <c r="P27" s="50">
        <f t="shared" si="2"/>
        <v>2617.6975000000002</v>
      </c>
    </row>
    <row r="28" spans="1:16" x14ac:dyDescent="0.25">
      <c r="A28" s="103" t="s">
        <v>61</v>
      </c>
      <c r="B28" s="6">
        <v>40</v>
      </c>
      <c r="C28" s="6">
        <v>10</v>
      </c>
      <c r="D28" s="42"/>
      <c r="E28" s="43">
        <f>0.0261*POWER(B28,2)*C28</f>
        <v>417.6</v>
      </c>
      <c r="F28" s="43"/>
      <c r="G28" s="43"/>
      <c r="H28" s="43">
        <f>-0.026*POWER(B28,2)+0.536*C28+0.00538*POWER(B28,2)*C28</f>
        <v>49.840000000000011</v>
      </c>
      <c r="I28" s="43">
        <f>0.898*B28-0.445*C28</f>
        <v>31.470000000000002</v>
      </c>
      <c r="J28" s="43"/>
      <c r="K28" s="43"/>
      <c r="L28" s="43"/>
      <c r="M28" s="43">
        <f t="shared" si="0"/>
        <v>498.91000000000008</v>
      </c>
      <c r="N28" s="43">
        <f>0.143*POWER(B28,2)</f>
        <v>228.79999999999998</v>
      </c>
      <c r="O28" s="33">
        <f t="shared" si="1"/>
        <v>727.71</v>
      </c>
      <c r="P28" s="50">
        <f t="shared" si="2"/>
        <v>1334.135</v>
      </c>
    </row>
    <row r="29" spans="1:16" x14ac:dyDescent="0.25">
      <c r="A29" s="44" t="s">
        <v>62</v>
      </c>
      <c r="B29" s="6">
        <v>40</v>
      </c>
      <c r="C29" s="6">
        <v>10</v>
      </c>
      <c r="D29" s="42"/>
      <c r="E29" s="43">
        <f>-5.714+0.018*POWER(B29,2)*C29</f>
        <v>282.286</v>
      </c>
      <c r="F29" s="43">
        <f>-1.5+0.032*POWER(B29,2)+0.001*POWER(B29,2)*C29</f>
        <v>65.7</v>
      </c>
      <c r="G29" s="43">
        <f>0.000000003427*POWER((B29*B29*C29),2.31)</f>
        <v>17.637265979966916</v>
      </c>
      <c r="H29" s="43">
        <f>4.268+0.003*POWER(B29,2)*C29</f>
        <v>52.268000000000001</v>
      </c>
      <c r="I29" s="43">
        <f>0.039*POWER(B29,1.784)</f>
        <v>28.128050399345646</v>
      </c>
      <c r="J29" s="43">
        <f>0.02*POWER((B29*B29*C29),0.737)</f>
        <v>25.08802205999875</v>
      </c>
      <c r="K29" s="43"/>
      <c r="L29" s="43"/>
      <c r="M29" s="43">
        <f t="shared" si="0"/>
        <v>471.10733843931126</v>
      </c>
      <c r="N29" s="43">
        <f>0.0851*POWER(B29,2.151)</f>
        <v>237.66246728826951</v>
      </c>
      <c r="O29" s="33">
        <f t="shared" si="1"/>
        <v>708.76980572758077</v>
      </c>
      <c r="P29" s="50">
        <f t="shared" si="2"/>
        <v>1299.4113105005647</v>
      </c>
    </row>
    <row r="30" spans="1:16" x14ac:dyDescent="0.25">
      <c r="A30" s="103" t="s">
        <v>104</v>
      </c>
      <c r="B30" s="6">
        <v>40</v>
      </c>
      <c r="C30" s="6">
        <v>10</v>
      </c>
      <c r="D30" s="42"/>
      <c r="E30" s="43">
        <f>0.00525*POWER(B30,2)*C30+0.278*B30*C30</f>
        <v>195.20000000000002</v>
      </c>
      <c r="F30" s="43"/>
      <c r="G30" s="43">
        <f>0.0135*POWER(B30,2)*C30</f>
        <v>216</v>
      </c>
      <c r="H30" s="43">
        <f>0.127*B30*C30</f>
        <v>50.8</v>
      </c>
      <c r="I30" s="43">
        <f>0.0463*B30*C30</f>
        <v>18.52</v>
      </c>
      <c r="J30" s="43"/>
      <c r="K30" s="43"/>
      <c r="L30" s="43"/>
      <c r="M30" s="43">
        <f t="shared" si="0"/>
        <v>480.52000000000004</v>
      </c>
      <c r="N30" s="43">
        <f>0.0829*POWER(B30,2)</f>
        <v>132.64000000000001</v>
      </c>
      <c r="O30" s="33">
        <f t="shared" si="1"/>
        <v>613.16000000000008</v>
      </c>
      <c r="P30" s="50">
        <f t="shared" si="2"/>
        <v>1124.1266666666668</v>
      </c>
    </row>
    <row r="32" spans="1:16" x14ac:dyDescent="0.25">
      <c r="A32" s="46" t="s">
        <v>145</v>
      </c>
      <c r="B32" s="47" t="s">
        <v>166</v>
      </c>
      <c r="F32" s="45"/>
    </row>
    <row r="33" spans="1:16" x14ac:dyDescent="0.25">
      <c r="A33" s="46" t="s">
        <v>146</v>
      </c>
      <c r="B33" s="48"/>
      <c r="F33" s="45"/>
    </row>
    <row r="34" spans="1:16" x14ac:dyDescent="0.25">
      <c r="A34" s="46" t="s">
        <v>147</v>
      </c>
      <c r="B34" s="47" t="s">
        <v>168</v>
      </c>
      <c r="F34" s="45"/>
    </row>
    <row r="35" spans="1:16" x14ac:dyDescent="0.25">
      <c r="A35" s="46" t="s">
        <v>148</v>
      </c>
      <c r="B35" s="47" t="s">
        <v>169</v>
      </c>
      <c r="F35" s="45"/>
    </row>
    <row r="36" spans="1:16" x14ac:dyDescent="0.25">
      <c r="A36" s="46" t="s">
        <v>211</v>
      </c>
      <c r="B36" s="47" t="s">
        <v>170</v>
      </c>
      <c r="F36" s="45"/>
    </row>
    <row r="37" spans="1:16" x14ac:dyDescent="0.25">
      <c r="A37" s="46" t="s">
        <v>150</v>
      </c>
      <c r="F37" s="45"/>
    </row>
    <row r="38" spans="1:16" x14ac:dyDescent="0.25">
      <c r="A38" s="46" t="s">
        <v>151</v>
      </c>
      <c r="F38" s="45"/>
    </row>
    <row r="39" spans="1:16" x14ac:dyDescent="0.25">
      <c r="A39" s="46" t="s">
        <v>152</v>
      </c>
      <c r="F39" s="45"/>
    </row>
    <row r="40" spans="1:16" x14ac:dyDescent="0.25">
      <c r="A40" s="46" t="s">
        <v>154</v>
      </c>
      <c r="B40" s="47" t="s">
        <v>173</v>
      </c>
      <c r="F40" s="45"/>
    </row>
    <row r="42" spans="1:16" x14ac:dyDescent="0.25">
      <c r="A42" s="4"/>
    </row>
    <row r="43" spans="1:16" x14ac:dyDescent="0.25">
      <c r="A43" s="49" t="s">
        <v>212</v>
      </c>
    </row>
    <row r="44" spans="1:16" ht="15" customHeight="1" x14ac:dyDescent="0.25">
      <c r="A44" s="802" t="s">
        <v>213</v>
      </c>
      <c r="B44" s="802"/>
      <c r="C44" s="802"/>
      <c r="D44" s="802"/>
      <c r="E44" s="802"/>
      <c r="F44" s="802"/>
      <c r="G44" s="802"/>
      <c r="H44" s="802"/>
      <c r="I44" s="802"/>
      <c r="J44" s="802"/>
      <c r="K44" s="802"/>
      <c r="L44" s="802"/>
      <c r="M44" s="802"/>
      <c r="N44" s="802"/>
      <c r="O44" s="802"/>
      <c r="P44" s="802"/>
    </row>
    <row r="45" spans="1:16" x14ac:dyDescent="0.25">
      <c r="A45" s="102" t="s">
        <v>3</v>
      </c>
    </row>
    <row r="46" spans="1:16" x14ac:dyDescent="0.25">
      <c r="A46" s="102" t="s">
        <v>167</v>
      </c>
    </row>
    <row r="47" spans="1:16" ht="15" customHeight="1" x14ac:dyDescent="0.25">
      <c r="A47" s="102" t="s">
        <v>0</v>
      </c>
      <c r="C47" s="105"/>
      <c r="D47" s="105"/>
      <c r="E47" s="105"/>
      <c r="F47" s="105"/>
      <c r="G47" s="105"/>
      <c r="H47" s="105"/>
      <c r="I47" s="105"/>
      <c r="J47" s="105"/>
      <c r="K47" s="105"/>
      <c r="L47" s="105"/>
      <c r="M47" s="105"/>
      <c r="N47" s="105"/>
      <c r="O47" s="105"/>
      <c r="P47" s="105"/>
    </row>
    <row r="48" spans="1:16" x14ac:dyDescent="0.25">
      <c r="A48" s="102" t="s">
        <v>10</v>
      </c>
    </row>
    <row r="49" spans="1:4" x14ac:dyDescent="0.25">
      <c r="A49" s="102" t="s">
        <v>157</v>
      </c>
    </row>
    <row r="50" spans="1:4" x14ac:dyDescent="0.25">
      <c r="A50" s="102" t="s">
        <v>23</v>
      </c>
    </row>
    <row r="51" spans="1:4" x14ac:dyDescent="0.25">
      <c r="A51" s="102" t="s">
        <v>24</v>
      </c>
    </row>
    <row r="52" spans="1:4" x14ac:dyDescent="0.25">
      <c r="A52" s="102" t="s">
        <v>161</v>
      </c>
      <c r="D52" s="1"/>
    </row>
    <row r="53" spans="1:4" x14ac:dyDescent="0.25">
      <c r="A53" s="102" t="s">
        <v>105</v>
      </c>
    </row>
    <row r="54" spans="1:4" x14ac:dyDescent="0.25">
      <c r="A54" s="102" t="s">
        <v>171</v>
      </c>
    </row>
    <row r="55" spans="1:4" x14ac:dyDescent="0.25">
      <c r="A55" s="102" t="s">
        <v>42</v>
      </c>
    </row>
    <row r="56" spans="1:4" x14ac:dyDescent="0.25">
      <c r="A56" s="102" t="s">
        <v>43</v>
      </c>
    </row>
    <row r="57" spans="1:4" x14ac:dyDescent="0.25">
      <c r="A57" s="102" t="s">
        <v>44</v>
      </c>
    </row>
    <row r="58" spans="1:4" x14ac:dyDescent="0.25">
      <c r="A58" s="102" t="s">
        <v>107</v>
      </c>
    </row>
    <row r="59" spans="1:4" x14ac:dyDescent="0.25">
      <c r="A59" s="102" t="s">
        <v>46</v>
      </c>
    </row>
    <row r="60" spans="1:4" x14ac:dyDescent="0.25">
      <c r="A60" s="102" t="s">
        <v>48</v>
      </c>
    </row>
    <row r="61" spans="1:4" x14ac:dyDescent="0.25">
      <c r="A61" s="102" t="s">
        <v>49</v>
      </c>
    </row>
    <row r="62" spans="1:4" x14ac:dyDescent="0.25">
      <c r="A62" s="102" t="s">
        <v>172</v>
      </c>
    </row>
    <row r="63" spans="1:4" x14ac:dyDescent="0.25">
      <c r="A63" s="102" t="s">
        <v>165</v>
      </c>
    </row>
    <row r="64" spans="1:4" x14ac:dyDescent="0.25">
      <c r="A64" s="102" t="s">
        <v>57</v>
      </c>
    </row>
    <row r="65" spans="1:16" x14ac:dyDescent="0.25">
      <c r="A65" s="102" t="s">
        <v>58</v>
      </c>
    </row>
    <row r="66" spans="1:16" x14ac:dyDescent="0.25">
      <c r="A66" s="102" t="s">
        <v>61</v>
      </c>
    </row>
    <row r="67" spans="1:16" x14ac:dyDescent="0.25">
      <c r="A67" s="102" t="s">
        <v>104</v>
      </c>
    </row>
    <row r="69" spans="1:16" ht="15" customHeight="1" x14ac:dyDescent="0.25">
      <c r="A69" s="802" t="s">
        <v>215</v>
      </c>
      <c r="B69" s="802"/>
      <c r="C69" s="802"/>
      <c r="D69" s="802"/>
      <c r="E69" s="802"/>
      <c r="F69" s="802"/>
      <c r="G69" s="802"/>
      <c r="H69" s="802"/>
      <c r="I69" s="802"/>
      <c r="J69" s="802"/>
      <c r="K69" s="802"/>
      <c r="L69" s="802"/>
      <c r="M69" s="802"/>
      <c r="N69" s="802"/>
      <c r="O69" s="802"/>
      <c r="P69" s="802"/>
    </row>
    <row r="70" spans="1:16" x14ac:dyDescent="0.25">
      <c r="A70" s="802"/>
      <c r="B70" s="802"/>
      <c r="C70" s="802"/>
      <c r="D70" s="802"/>
      <c r="E70" s="802"/>
      <c r="F70" s="802"/>
      <c r="G70" s="802"/>
      <c r="H70" s="802"/>
      <c r="I70" s="802"/>
      <c r="J70" s="802"/>
      <c r="K70" s="802"/>
      <c r="L70" s="802"/>
      <c r="M70" s="802"/>
      <c r="N70" s="802"/>
      <c r="O70" s="802"/>
      <c r="P70" s="802"/>
    </row>
    <row r="71" spans="1:16" x14ac:dyDescent="0.25">
      <c r="A71" s="105"/>
      <c r="B71" s="105"/>
      <c r="C71" s="105"/>
      <c r="D71" s="105"/>
      <c r="E71" s="105"/>
      <c r="F71" s="105"/>
      <c r="G71" s="105"/>
      <c r="H71" s="105"/>
      <c r="I71" s="105"/>
      <c r="J71" s="105"/>
      <c r="K71" s="105"/>
      <c r="L71" s="105"/>
      <c r="M71" s="105"/>
      <c r="N71" s="105"/>
      <c r="O71" s="105"/>
      <c r="P71" s="105"/>
    </row>
    <row r="72" spans="1:16" x14ac:dyDescent="0.25">
      <c r="A72" s="102" t="s">
        <v>156</v>
      </c>
    </row>
    <row r="74" spans="1:16" ht="15" customHeight="1" x14ac:dyDescent="0.25">
      <c r="A74" s="802" t="s">
        <v>214</v>
      </c>
      <c r="B74" s="802"/>
      <c r="C74" s="802"/>
      <c r="D74" s="802"/>
      <c r="E74" s="802"/>
      <c r="F74" s="802"/>
      <c r="G74" s="802"/>
      <c r="H74" s="802"/>
      <c r="I74" s="802"/>
      <c r="J74" s="802"/>
      <c r="K74" s="802"/>
      <c r="L74" s="802"/>
      <c r="M74" s="802"/>
      <c r="N74" s="802"/>
      <c r="O74" s="802"/>
      <c r="P74" s="802"/>
    </row>
    <row r="75" spans="1:16" x14ac:dyDescent="0.25">
      <c r="A75" s="802"/>
      <c r="B75" s="802"/>
      <c r="C75" s="802"/>
      <c r="D75" s="802"/>
      <c r="E75" s="802"/>
      <c r="F75" s="802"/>
      <c r="G75" s="802"/>
      <c r="H75" s="802"/>
      <c r="I75" s="802"/>
      <c r="J75" s="802"/>
      <c r="K75" s="802"/>
      <c r="L75" s="802"/>
      <c r="M75" s="802"/>
      <c r="N75" s="802"/>
      <c r="O75" s="802"/>
      <c r="P75" s="802"/>
    </row>
    <row r="77" spans="1:16" x14ac:dyDescent="0.25">
      <c r="A77" s="802" t="s">
        <v>217</v>
      </c>
      <c r="B77" s="802"/>
      <c r="C77" s="802"/>
      <c r="D77" s="802"/>
      <c r="E77" s="802"/>
      <c r="F77" s="802"/>
      <c r="G77" s="802"/>
      <c r="H77" s="802"/>
      <c r="I77" s="802"/>
      <c r="J77" s="802"/>
      <c r="K77" s="802"/>
      <c r="L77" s="802"/>
      <c r="M77" s="802"/>
      <c r="N77" s="802"/>
      <c r="O77" s="802"/>
      <c r="P77" s="802"/>
    </row>
    <row r="78" spans="1:16" x14ac:dyDescent="0.25">
      <c r="A78" s="802"/>
      <c r="B78" s="802"/>
      <c r="C78" s="802"/>
      <c r="D78" s="802"/>
      <c r="E78" s="802"/>
      <c r="F78" s="802"/>
      <c r="G78" s="802"/>
      <c r="H78" s="802"/>
      <c r="I78" s="802"/>
      <c r="J78" s="802"/>
      <c r="K78" s="802"/>
      <c r="L78" s="802"/>
      <c r="M78" s="802"/>
      <c r="N78" s="802"/>
      <c r="O78" s="802"/>
      <c r="P78" s="802"/>
    </row>
    <row r="79" spans="1:16" x14ac:dyDescent="0.25">
      <c r="A79" s="105"/>
      <c r="B79" s="105"/>
      <c r="C79" s="105"/>
      <c r="D79" s="105"/>
      <c r="E79" s="105"/>
      <c r="F79" s="105"/>
      <c r="G79" s="105"/>
      <c r="H79" s="105"/>
      <c r="I79" s="105"/>
      <c r="J79" s="105"/>
      <c r="K79" s="105"/>
      <c r="L79" s="105"/>
      <c r="M79" s="105"/>
      <c r="N79" s="105"/>
      <c r="O79" s="105"/>
      <c r="P79" s="105"/>
    </row>
    <row r="80" spans="1:16" x14ac:dyDescent="0.25">
      <c r="A80" s="102" t="s">
        <v>163</v>
      </c>
    </row>
    <row r="81" spans="1:16" x14ac:dyDescent="0.25">
      <c r="A81" s="102" t="s">
        <v>47</v>
      </c>
    </row>
    <row r="83" spans="1:16" x14ac:dyDescent="0.25">
      <c r="A83" s="802" t="s">
        <v>218</v>
      </c>
      <c r="B83" s="802"/>
      <c r="C83" s="802"/>
      <c r="D83" s="802"/>
      <c r="E83" s="802"/>
      <c r="F83" s="802"/>
      <c r="G83" s="802"/>
      <c r="H83" s="802"/>
      <c r="I83" s="802"/>
      <c r="J83" s="802"/>
      <c r="K83" s="802"/>
      <c r="L83" s="802"/>
      <c r="M83" s="802"/>
      <c r="N83" s="802"/>
      <c r="O83" s="802"/>
      <c r="P83" s="802"/>
    </row>
    <row r="84" spans="1:16" x14ac:dyDescent="0.25">
      <c r="A84" s="105"/>
      <c r="B84" s="105"/>
      <c r="C84" s="105"/>
      <c r="D84" s="105"/>
      <c r="E84" s="105"/>
      <c r="F84" s="105"/>
      <c r="G84" s="105"/>
      <c r="H84" s="105"/>
      <c r="I84" s="105"/>
      <c r="J84" s="105"/>
      <c r="K84" s="105"/>
      <c r="L84" s="105"/>
      <c r="M84" s="105"/>
      <c r="N84" s="105"/>
      <c r="O84" s="105"/>
      <c r="P84" s="105"/>
    </row>
    <row r="85" spans="1:16" x14ac:dyDescent="0.25">
      <c r="A85" s="102" t="s">
        <v>62</v>
      </c>
      <c r="B85" s="105"/>
      <c r="C85" s="105"/>
      <c r="D85" s="105"/>
      <c r="E85" s="105"/>
      <c r="F85" s="105"/>
      <c r="G85" s="105"/>
      <c r="H85" s="105"/>
      <c r="I85" s="105"/>
      <c r="J85" s="105"/>
      <c r="K85" s="105"/>
      <c r="L85" s="105"/>
      <c r="M85" s="105"/>
      <c r="N85" s="105"/>
      <c r="O85" s="105"/>
      <c r="P85" s="105"/>
    </row>
    <row r="87" spans="1:16" ht="15.75" customHeight="1" x14ac:dyDescent="0.25">
      <c r="A87" s="802" t="s">
        <v>220</v>
      </c>
      <c r="B87" s="802"/>
      <c r="C87" s="802"/>
      <c r="D87" s="802"/>
      <c r="E87" s="802"/>
      <c r="F87" s="802"/>
      <c r="G87" s="802"/>
      <c r="H87" s="802"/>
      <c r="I87" s="802"/>
      <c r="J87" s="802"/>
      <c r="K87" s="802"/>
      <c r="L87" s="802"/>
      <c r="M87" s="802"/>
      <c r="N87" s="802"/>
      <c r="O87" s="802"/>
      <c r="P87" s="802"/>
    </row>
    <row r="88" spans="1:16" ht="15" customHeight="1" x14ac:dyDescent="0.25">
      <c r="A88" s="802"/>
      <c r="B88" s="802"/>
      <c r="C88" s="802"/>
      <c r="D88" s="802"/>
      <c r="E88" s="802"/>
      <c r="F88" s="802"/>
      <c r="G88" s="802"/>
      <c r="H88" s="802"/>
      <c r="I88" s="802"/>
      <c r="J88" s="802"/>
      <c r="K88" s="802"/>
      <c r="L88" s="802"/>
      <c r="M88" s="802"/>
      <c r="N88" s="802"/>
      <c r="O88" s="802"/>
      <c r="P88" s="802"/>
    </row>
    <row r="89" spans="1:16" ht="15.75" x14ac:dyDescent="0.25">
      <c r="A89" s="106"/>
    </row>
    <row r="90" spans="1:16" ht="15" customHeight="1" x14ac:dyDescent="0.25">
      <c r="A90" s="802" t="s">
        <v>219</v>
      </c>
      <c r="B90" s="802"/>
      <c r="C90" s="802"/>
      <c r="D90" s="802"/>
      <c r="E90" s="802"/>
      <c r="F90" s="802"/>
      <c r="G90" s="802"/>
      <c r="H90" s="802"/>
      <c r="I90" s="802"/>
      <c r="J90" s="802"/>
      <c r="K90" s="802"/>
      <c r="L90" s="802"/>
      <c r="M90" s="802"/>
      <c r="N90" s="802"/>
      <c r="O90" s="802"/>
      <c r="P90" s="802"/>
    </row>
    <row r="91" spans="1:16" x14ac:dyDescent="0.25">
      <c r="A91" s="802"/>
      <c r="B91" s="802"/>
      <c r="C91" s="802"/>
      <c r="D91" s="802"/>
      <c r="E91" s="802"/>
      <c r="F91" s="802"/>
      <c r="G91" s="802"/>
      <c r="H91" s="802"/>
      <c r="I91" s="802"/>
      <c r="J91" s="802"/>
      <c r="K91" s="802"/>
      <c r="L91" s="802"/>
      <c r="M91" s="802"/>
      <c r="N91" s="802"/>
      <c r="O91" s="802"/>
      <c r="P91" s="802"/>
    </row>
    <row r="93" spans="1:16" x14ac:dyDescent="0.25">
      <c r="A93" s="102" t="s">
        <v>158</v>
      </c>
    </row>
    <row r="95" spans="1:16" x14ac:dyDescent="0.25">
      <c r="A95" s="803" t="s">
        <v>216</v>
      </c>
      <c r="B95" s="803"/>
      <c r="C95" s="803"/>
      <c r="D95" s="803"/>
      <c r="E95" s="803"/>
      <c r="F95" s="803"/>
      <c r="G95" s="803"/>
      <c r="H95" s="803"/>
      <c r="I95" s="803"/>
      <c r="J95" s="803"/>
      <c r="K95" s="803"/>
      <c r="L95" s="803"/>
      <c r="M95" s="803"/>
      <c r="N95" s="803"/>
      <c r="O95" s="803"/>
      <c r="P95" s="803"/>
    </row>
    <row r="96" spans="1:16" x14ac:dyDescent="0.25">
      <c r="A96" s="803"/>
      <c r="B96" s="803"/>
      <c r="C96" s="803"/>
      <c r="D96" s="803"/>
      <c r="E96" s="803"/>
      <c r="F96" s="803"/>
      <c r="G96" s="803"/>
      <c r="H96" s="803"/>
      <c r="I96" s="803"/>
      <c r="J96" s="803"/>
      <c r="K96" s="803"/>
      <c r="L96" s="803"/>
      <c r="M96" s="803"/>
      <c r="N96" s="803"/>
      <c r="O96" s="803"/>
      <c r="P96" s="803"/>
    </row>
  </sheetData>
  <mergeCells count="8">
    <mergeCell ref="A44:P44"/>
    <mergeCell ref="A69:P70"/>
    <mergeCell ref="A74:P75"/>
    <mergeCell ref="A95:P96"/>
    <mergeCell ref="A77:P78"/>
    <mergeCell ref="A83:P83"/>
    <mergeCell ref="A90:P91"/>
    <mergeCell ref="A87:P88"/>
  </mergeCells>
  <phoneticPr fontId="73" type="noConversion"/>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AA78"/>
  <sheetViews>
    <sheetView workbookViewId="0">
      <selection activeCell="A33" sqref="A33:XFD37"/>
    </sheetView>
  </sheetViews>
  <sheetFormatPr baseColWidth="10" defaultRowHeight="15" x14ac:dyDescent="0.25"/>
  <cols>
    <col min="1" max="1" width="25.140625" bestFit="1" customWidth="1"/>
    <col min="2" max="2" width="7.5703125" style="113" customWidth="1"/>
    <col min="3" max="3" width="8.7109375" customWidth="1"/>
    <col min="4" max="4" width="7.140625" customWidth="1"/>
    <col min="5" max="5" width="10.5703125" customWidth="1"/>
    <col min="6" max="6" width="4.7109375" customWidth="1"/>
    <col min="7" max="7" width="12.28515625" bestFit="1" customWidth="1"/>
    <col min="8" max="8" width="7.7109375" bestFit="1" customWidth="1"/>
    <col min="9" max="9" width="8.5703125" bestFit="1" customWidth="1"/>
    <col min="10" max="10" width="9.7109375" bestFit="1" customWidth="1"/>
    <col min="11" max="11" width="10.85546875" bestFit="1" customWidth="1"/>
    <col min="12" max="12" width="7.42578125" bestFit="1" customWidth="1"/>
    <col min="13" max="13" width="7.7109375" bestFit="1" customWidth="1"/>
    <col min="14" max="14" width="8.5703125" bestFit="1" customWidth="1"/>
    <col min="15" max="15" width="10.42578125" customWidth="1"/>
    <col min="16" max="16" width="7.5703125" bestFit="1" customWidth="1"/>
    <col min="17" max="17" width="8.140625" bestFit="1" customWidth="1"/>
    <col min="18" max="18" width="11" style="20" customWidth="1"/>
    <col min="19" max="19" width="12.85546875" bestFit="1" customWidth="1"/>
  </cols>
  <sheetData>
    <row r="1" spans="1:27" x14ac:dyDescent="0.25">
      <c r="A1" s="804" t="s">
        <v>209</v>
      </c>
      <c r="B1" s="804"/>
      <c r="C1" s="804"/>
      <c r="D1" s="804"/>
      <c r="E1" s="804"/>
      <c r="F1" s="804" t="s">
        <v>224</v>
      </c>
      <c r="G1" s="804"/>
      <c r="H1" s="804"/>
      <c r="I1" s="804"/>
      <c r="J1" s="804"/>
      <c r="K1" s="804"/>
      <c r="L1" s="804"/>
      <c r="M1" s="804"/>
      <c r="N1" s="804"/>
      <c r="O1" s="804"/>
      <c r="P1" s="804"/>
      <c r="Q1" s="804"/>
      <c r="R1" s="805"/>
      <c r="S1" s="806" t="s">
        <v>225</v>
      </c>
    </row>
    <row r="2" spans="1:27" ht="27" x14ac:dyDescent="0.25">
      <c r="A2" s="111" t="s">
        <v>93</v>
      </c>
      <c r="B2" s="111" t="s">
        <v>223</v>
      </c>
      <c r="C2" s="38" t="s">
        <v>142</v>
      </c>
      <c r="D2" s="38" t="s">
        <v>143</v>
      </c>
      <c r="E2" s="41" t="s">
        <v>174</v>
      </c>
      <c r="F2" s="38" t="s">
        <v>144</v>
      </c>
      <c r="G2" s="39" t="s">
        <v>145</v>
      </c>
      <c r="H2" s="39" t="s">
        <v>146</v>
      </c>
      <c r="I2" s="39" t="s">
        <v>147</v>
      </c>
      <c r="J2" s="39" t="s">
        <v>148</v>
      </c>
      <c r="K2" s="39" t="s">
        <v>149</v>
      </c>
      <c r="L2" s="39" t="s">
        <v>150</v>
      </c>
      <c r="M2" s="39" t="s">
        <v>151</v>
      </c>
      <c r="N2" s="39" t="s">
        <v>152</v>
      </c>
      <c r="O2" s="40" t="s">
        <v>153</v>
      </c>
      <c r="P2" s="40" t="s">
        <v>154</v>
      </c>
      <c r="Q2" s="119" t="s">
        <v>155</v>
      </c>
      <c r="R2" s="120" t="s">
        <v>174</v>
      </c>
      <c r="S2" s="806"/>
    </row>
    <row r="3" spans="1:27" x14ac:dyDescent="0.25">
      <c r="A3" s="44" t="s">
        <v>3</v>
      </c>
      <c r="B3" s="112"/>
      <c r="C3" s="6"/>
      <c r="D3" s="6"/>
      <c r="E3" s="6"/>
      <c r="F3" s="42"/>
      <c r="G3" s="43">
        <f>0.0189*POWER(C3,2)*D3</f>
        <v>0</v>
      </c>
      <c r="H3" s="43"/>
      <c r="I3" s="43">
        <f>0.0584*POWER(C3,2)</f>
        <v>0</v>
      </c>
      <c r="J3" s="43"/>
      <c r="K3" s="43">
        <f>0.0371*POWER(C3,2)+0.968*D3</f>
        <v>0</v>
      </c>
      <c r="L3" s="43"/>
      <c r="M3" s="43"/>
      <c r="N3" s="43"/>
      <c r="O3" s="43">
        <f t="shared" ref="O3:O34" si="0">G3+H3+I3+J3+K3+L3+M3</f>
        <v>0</v>
      </c>
      <c r="P3" s="43">
        <f>0.101*POWER(C3,2)</f>
        <v>0</v>
      </c>
      <c r="Q3" s="33">
        <f t="shared" ref="Q3:Q34" si="1">O3+P3</f>
        <v>0</v>
      </c>
      <c r="R3" s="50" t="e">
        <f>#REF!*0.5*44/12</f>
        <v>#REF!</v>
      </c>
    </row>
    <row r="4" spans="1:27" x14ac:dyDescent="0.25">
      <c r="A4" s="44" t="s">
        <v>0</v>
      </c>
      <c r="B4" s="112"/>
      <c r="C4" s="6"/>
      <c r="D4" s="6"/>
      <c r="E4" s="6"/>
      <c r="F4" s="42"/>
      <c r="G4" s="43">
        <f>0.0191*POWER(C4,2)*D4</f>
        <v>0</v>
      </c>
      <c r="H4" s="43"/>
      <c r="I4" s="43">
        <f>0.0512*POWER(C4,2)</f>
        <v>0</v>
      </c>
      <c r="J4" s="43"/>
      <c r="K4" s="43">
        <f>0.0567*C4*D4</f>
        <v>0</v>
      </c>
      <c r="L4" s="43"/>
      <c r="M4" s="43"/>
      <c r="N4" s="43"/>
      <c r="O4" s="43">
        <f t="shared" si="0"/>
        <v>0</v>
      </c>
      <c r="P4" s="43">
        <f>0.214*POWER(C4,2)</f>
        <v>0</v>
      </c>
      <c r="Q4" s="33">
        <f t="shared" si="1"/>
        <v>0</v>
      </c>
      <c r="R4" s="50" t="e">
        <f>#REF!*0.5*44/12</f>
        <v>#REF!</v>
      </c>
    </row>
    <row r="5" spans="1:27" x14ac:dyDescent="0.25">
      <c r="A5" s="103" t="s">
        <v>156</v>
      </c>
      <c r="B5" s="117">
        <v>20</v>
      </c>
      <c r="C5" s="118">
        <f>'Alt_diám tablas producc'!C32</f>
        <v>8</v>
      </c>
      <c r="D5" s="118">
        <f>'Alt_diám tablas producc'!D32</f>
        <v>9.5</v>
      </c>
      <c r="E5" s="19">
        <f>'Alt_diám tablas producc'!E32</f>
        <v>4.3707006369426753E-2</v>
      </c>
      <c r="F5" s="42"/>
      <c r="G5" s="43">
        <f>-3.824+0.01709*POWER(C5,2)*D5</f>
        <v>6.5667200000000001</v>
      </c>
      <c r="H5" s="43">
        <f>0.00165*POWER(C5,2.392)*POWER(D5,0.761)</f>
        <v>1.3234966815701672</v>
      </c>
      <c r="I5" s="43">
        <f>0.04649*POWER(C5,2.183)</f>
        <v>4.3531635872348202</v>
      </c>
      <c r="J5" s="43"/>
      <c r="K5" s="43">
        <f>0.01246*POWER(C5,2.44)</f>
        <v>1.9909374258322017</v>
      </c>
      <c r="L5" s="43">
        <f>0.01908*POWER(C5,2)</f>
        <v>1.22112</v>
      </c>
      <c r="M5" s="43">
        <f>0.001016*POWER(C5,2)*D5</f>
        <v>0.61772799999999994</v>
      </c>
      <c r="N5" s="43"/>
      <c r="O5" s="43">
        <f t="shared" si="0"/>
        <v>16.07316569463719</v>
      </c>
      <c r="P5" s="43">
        <f>1.042*POWER(C5,1.254)</f>
        <v>14.136521650363839</v>
      </c>
      <c r="Q5" s="33">
        <f t="shared" si="1"/>
        <v>30.209687345001029</v>
      </c>
      <c r="R5" s="19">
        <f>(Q5*0.5*44/12)/1000</f>
        <v>5.5384426799168551E-2</v>
      </c>
      <c r="S5" s="121">
        <f>(E5-R5)/E5</f>
        <v>-0.26717502294804174</v>
      </c>
    </row>
    <row r="6" spans="1:27" x14ac:dyDescent="0.25">
      <c r="A6" s="103" t="s">
        <v>156</v>
      </c>
      <c r="B6" s="117">
        <v>25</v>
      </c>
      <c r="C6" s="118">
        <f>'Alt_diám tablas producc'!C33</f>
        <v>10</v>
      </c>
      <c r="D6" s="118">
        <f>'Alt_diám tablas producc'!D33</f>
        <v>11.4</v>
      </c>
      <c r="E6" s="19">
        <f>'Alt_diám tablas producc'!E33</f>
        <v>7.9045013883379617E-2</v>
      </c>
      <c r="F6" s="42"/>
      <c r="G6" s="43">
        <f>-3.824+0.01709*POWER(C6,2)*D6</f>
        <v>15.658600000000002</v>
      </c>
      <c r="H6" s="43">
        <f>0.00165*POWER(C6,2.392)*POWER(D6,0.761)</f>
        <v>2.5929165282014739</v>
      </c>
      <c r="I6" s="43">
        <f>0.04649*POWER(C6,2.183)</f>
        <v>7.085321252403606</v>
      </c>
      <c r="J6" s="43"/>
      <c r="K6" s="43">
        <f>0.01246*POWER(C6,2.44)</f>
        <v>3.4317689643593581</v>
      </c>
      <c r="L6" s="43">
        <f>0.01908*POWER(C6,2)</f>
        <v>1.9079999999999999</v>
      </c>
      <c r="M6" s="43">
        <f>0.001016*POWER(C6,2)*D6</f>
        <v>1.1582399999999999</v>
      </c>
      <c r="N6" s="43"/>
      <c r="O6" s="43">
        <f t="shared" si="0"/>
        <v>31.834846744964437</v>
      </c>
      <c r="P6" s="43">
        <f>1.042*POWER(C6,1.254)</f>
        <v>18.701124391594931</v>
      </c>
      <c r="Q6" s="33">
        <f t="shared" si="1"/>
        <v>50.535971136559368</v>
      </c>
      <c r="R6" s="19">
        <f>(Q6*0.5*44/12)/1000</f>
        <v>9.2649280417025512E-2</v>
      </c>
      <c r="S6" s="121">
        <f>(E6-R6)/E6</f>
        <v>-0.1721078391322339</v>
      </c>
    </row>
    <row r="7" spans="1:27" x14ac:dyDescent="0.25">
      <c r="A7" s="103" t="s">
        <v>156</v>
      </c>
      <c r="B7" s="117">
        <v>30</v>
      </c>
      <c r="C7" s="118">
        <f>'Alt_diám tablas producc'!C34</f>
        <v>12</v>
      </c>
      <c r="D7" s="118">
        <f>'Alt_diám tablas producc'!D34</f>
        <v>13.2</v>
      </c>
      <c r="E7" s="19">
        <f>'Alt_diám tablas producc'!E34</f>
        <v>0.13044307692307691</v>
      </c>
      <c r="F7" s="42"/>
      <c r="G7" s="43">
        <f>-3.824+0.01709*POWER(C7,2)*D7</f>
        <v>28.660671999999998</v>
      </c>
      <c r="H7" s="43">
        <f>0.00165*POWER(C7,2.392)*POWER(D7,0.761)</f>
        <v>4.4837588450066344</v>
      </c>
      <c r="I7" s="43">
        <f>0.04649*POWER(C7,2.183)</f>
        <v>10.549022200477079</v>
      </c>
      <c r="J7" s="43"/>
      <c r="K7" s="43">
        <f>0.01246*POWER(C7,2.44)</f>
        <v>5.3545167649716277</v>
      </c>
      <c r="L7" s="43">
        <f>0.01908*POWER(C7,2)</f>
        <v>2.7475199999999997</v>
      </c>
      <c r="M7" s="43">
        <f>0.001016*POWER(C7,2)*D7</f>
        <v>1.9312127999999997</v>
      </c>
      <c r="N7" s="43"/>
      <c r="O7" s="43">
        <f t="shared" si="0"/>
        <v>53.726702610455334</v>
      </c>
      <c r="P7" s="43">
        <f>1.042*POWER(C7,1.254)</f>
        <v>23.505040374320121</v>
      </c>
      <c r="Q7" s="33">
        <f t="shared" si="1"/>
        <v>77.231742984775451</v>
      </c>
      <c r="R7" s="19">
        <f>(Q7*0.5*44/12)/1000</f>
        <v>0.14159152880542167</v>
      </c>
      <c r="S7" s="121">
        <f>(E7-R7)/E7</f>
        <v>-8.5466029668397558E-2</v>
      </c>
    </row>
    <row r="8" spans="1:27" x14ac:dyDescent="0.25">
      <c r="A8" s="103" t="s">
        <v>156</v>
      </c>
      <c r="B8" s="117">
        <v>35</v>
      </c>
      <c r="C8" s="118">
        <f>'Alt_diám tablas producc'!C35</f>
        <v>14.2</v>
      </c>
      <c r="D8" s="118">
        <f>'Alt_diám tablas producc'!D35</f>
        <v>14.8</v>
      </c>
      <c r="E8" s="19">
        <f>'Alt_diám tablas producc'!E35</f>
        <v>0.2005983526734926</v>
      </c>
      <c r="F8" s="42"/>
      <c r="G8" s="43">
        <f>-3.824+0.01709*POWER(C8,2)*D8</f>
        <v>47.177208480000004</v>
      </c>
      <c r="H8" s="43">
        <f>0.00165*POWER(C8,2.392)*POWER(D8,0.761)</f>
        <v>7.3168951110807541</v>
      </c>
      <c r="I8" s="43">
        <f>0.04649*POWER(C8,2.183)</f>
        <v>15.233686083924724</v>
      </c>
      <c r="J8" s="43"/>
      <c r="K8" s="43">
        <f>0.01246*POWER(C8,2.44)</f>
        <v>8.0742390390561471</v>
      </c>
      <c r="L8" s="43">
        <f>0.01908*POWER(C8,2)</f>
        <v>3.8472911999999995</v>
      </c>
      <c r="M8" s="43">
        <f>0.001016*POWER(C8,2)*D8</f>
        <v>3.032020352</v>
      </c>
      <c r="N8" s="43"/>
      <c r="O8" s="43">
        <f t="shared" si="0"/>
        <v>84.681340266061639</v>
      </c>
      <c r="P8" s="43">
        <f>1.042*POWER(C8,1.254)</f>
        <v>29.029349413408013</v>
      </c>
      <c r="Q8" s="33">
        <f t="shared" si="1"/>
        <v>113.71068967946965</v>
      </c>
      <c r="R8" s="19">
        <f>(Q8*0.5*44/12)/1000</f>
        <v>0.20846959774569435</v>
      </c>
      <c r="S8" s="121">
        <f>(E8-R8)/E8</f>
        <v>-3.9238832060667576E-2</v>
      </c>
    </row>
    <row r="9" spans="1:27" x14ac:dyDescent="0.25">
      <c r="A9" s="103" t="s">
        <v>156</v>
      </c>
      <c r="B9" s="117">
        <v>40</v>
      </c>
      <c r="C9" s="118">
        <f>'Alt_diám tablas producc'!C36</f>
        <v>16.399999999999999</v>
      </c>
      <c r="D9" s="118">
        <f>'Alt_diám tablas producc'!D36</f>
        <v>16.399999999999999</v>
      </c>
      <c r="E9" s="19">
        <f>'Alt_diám tablas producc'!E36</f>
        <v>0.28954389370306183</v>
      </c>
      <c r="F9" s="42"/>
      <c r="G9" s="43">
        <f>-3.824+0.01709*POWER(C9,2)*D9</f>
        <v>71.559032959999996</v>
      </c>
      <c r="H9" s="43">
        <f>0.00165*POWER(C9,2.392)*POWER(D9,0.761)</f>
        <v>11.165716507363488</v>
      </c>
      <c r="I9" s="43">
        <f>0.04649*POWER(C9,2.183)</f>
        <v>20.862371104918171</v>
      </c>
      <c r="J9" s="43"/>
      <c r="K9" s="43">
        <f>0.01246*POWER(C9,2.44)</f>
        <v>11.474586166362553</v>
      </c>
      <c r="L9" s="43">
        <f>0.01908*POWER(C9,2)</f>
        <v>5.1317567999999998</v>
      </c>
      <c r="M9" s="43">
        <f>0.001016*POWER(C9,2)*D9</f>
        <v>4.4815191039999993</v>
      </c>
      <c r="N9" s="43"/>
      <c r="O9" s="43">
        <f t="shared" si="0"/>
        <v>124.67498264264421</v>
      </c>
      <c r="P9" s="43">
        <f>1.042*POWER(C9,1.254)</f>
        <v>34.776182349188574</v>
      </c>
      <c r="Q9" s="33">
        <f t="shared" si="1"/>
        <v>159.4511649918328</v>
      </c>
      <c r="R9" s="19">
        <f>(Q9*0.5*44/12)/1000</f>
        <v>0.29232713581836017</v>
      </c>
      <c r="S9" s="121">
        <f>(E9-R9)/E9</f>
        <v>-9.6125049632463152E-3</v>
      </c>
    </row>
    <row r="10" spans="1:27" x14ac:dyDescent="0.25">
      <c r="A10" s="44" t="s">
        <v>10</v>
      </c>
      <c r="B10" s="112"/>
      <c r="C10" s="6"/>
      <c r="D10" s="6"/>
      <c r="E10" s="6"/>
      <c r="F10" s="42">
        <f>IF(C10&gt;12.5,1,0)</f>
        <v>0</v>
      </c>
      <c r="G10" s="43">
        <f>0.0142*POWER(C10,2)*D10</f>
        <v>0</v>
      </c>
      <c r="H10" s="43"/>
      <c r="I10" s="43">
        <f>0.223*POWER((C10-12.5),2)*F10</f>
        <v>0</v>
      </c>
      <c r="J10" s="43">
        <f>0.23*C10*D10</f>
        <v>0</v>
      </c>
      <c r="K10" s="43">
        <f>0.221*C10*D10</f>
        <v>0</v>
      </c>
      <c r="L10" s="43"/>
      <c r="M10" s="43"/>
      <c r="N10" s="43"/>
      <c r="O10" s="43">
        <f t="shared" si="0"/>
        <v>0</v>
      </c>
      <c r="P10" s="43">
        <f>0.0211*POWER(C10,2.804)</f>
        <v>0</v>
      </c>
      <c r="Q10" s="33">
        <f t="shared" si="1"/>
        <v>0</v>
      </c>
      <c r="R10" s="50" t="e">
        <f>#REF!*0.5*44/12</f>
        <v>#REF!</v>
      </c>
      <c r="U10" t="s">
        <v>160</v>
      </c>
      <c r="V10">
        <v>20</v>
      </c>
      <c r="W10">
        <v>6.1</v>
      </c>
      <c r="X10">
        <v>8.6</v>
      </c>
      <c r="Y10">
        <v>1.5217287788533138E-2</v>
      </c>
      <c r="Z10">
        <v>3.2941541673333324E-2</v>
      </c>
      <c r="AA10">
        <v>-1.1647446069960083</v>
      </c>
    </row>
    <row r="11" spans="1:27" x14ac:dyDescent="0.25">
      <c r="A11" s="44" t="s">
        <v>157</v>
      </c>
      <c r="B11" s="112"/>
      <c r="C11" s="6"/>
      <c r="D11" s="6"/>
      <c r="E11" s="6"/>
      <c r="F11" s="42"/>
      <c r="G11" s="43">
        <f>0.142*POWER(C11,1.974)</f>
        <v>0</v>
      </c>
      <c r="H11" s="43"/>
      <c r="I11" s="43">
        <f>0.104*POWER(C11,2)</f>
        <v>0</v>
      </c>
      <c r="J11" s="43">
        <f>0.0538*POWER(D11,2)</f>
        <v>0</v>
      </c>
      <c r="K11" s="43">
        <f>0.151*POWER(C11,2)-0.0074*POWER(C11,2)*D11</f>
        <v>0</v>
      </c>
      <c r="L11" s="43"/>
      <c r="M11" s="43"/>
      <c r="N11" s="43"/>
      <c r="O11" s="43">
        <f t="shared" si="0"/>
        <v>0</v>
      </c>
      <c r="P11" s="43">
        <f>0.335*POWER(C11,2)</f>
        <v>0</v>
      </c>
      <c r="Q11" s="33">
        <f t="shared" si="1"/>
        <v>0</v>
      </c>
      <c r="R11" s="50" t="e">
        <f>#REF!*0.5*44/12</f>
        <v>#REF!</v>
      </c>
      <c r="U11" t="s">
        <v>160</v>
      </c>
      <c r="V11">
        <v>25</v>
      </c>
      <c r="W11">
        <v>7.625</v>
      </c>
      <c r="X11">
        <v>10.75</v>
      </c>
      <c r="Y11">
        <v>7.1845487999999916E-2</v>
      </c>
      <c r="Z11">
        <v>5.5124144023437502E-2</v>
      </c>
      <c r="AA11">
        <v>0.23274034935307883</v>
      </c>
    </row>
    <row r="12" spans="1:27" x14ac:dyDescent="0.25">
      <c r="A12" s="44" t="s">
        <v>23</v>
      </c>
      <c r="B12" s="112"/>
      <c r="C12" s="6"/>
      <c r="D12" s="6"/>
      <c r="E12" s="6"/>
      <c r="F12" s="42"/>
      <c r="G12" s="43">
        <f>0.0221*POWER(C12,2)*D12</f>
        <v>0</v>
      </c>
      <c r="H12" s="43"/>
      <c r="I12" s="43"/>
      <c r="J12" s="43">
        <f>0.154*POWER(C12,1.668)</f>
        <v>0</v>
      </c>
      <c r="K12" s="43">
        <f>0.18*POWER((POWER(C12,2)*D12),0.587)</f>
        <v>0</v>
      </c>
      <c r="L12" s="43"/>
      <c r="M12" s="43"/>
      <c r="N12" s="43"/>
      <c r="O12" s="43">
        <f t="shared" si="0"/>
        <v>0</v>
      </c>
      <c r="P12" s="42">
        <f>IF(C12&lt;22.5,170.3,(IF(C12&lt;42.5,199.5,229.4)))</f>
        <v>170.3</v>
      </c>
      <c r="Q12" s="33">
        <f t="shared" si="1"/>
        <v>170.3</v>
      </c>
      <c r="R12" s="50" t="e">
        <f>#REF!*0.5*44/12</f>
        <v>#REF!</v>
      </c>
      <c r="U12" t="s">
        <v>160</v>
      </c>
      <c r="V12">
        <v>30</v>
      </c>
      <c r="W12">
        <v>11</v>
      </c>
      <c r="X12">
        <v>11.8</v>
      </c>
      <c r="Y12">
        <v>8.4086478733031669E-2</v>
      </c>
      <c r="Z12">
        <v>0.11843504199999999</v>
      </c>
      <c r="AA12">
        <v>-0.40849092249447694</v>
      </c>
    </row>
    <row r="13" spans="1:27" x14ac:dyDescent="0.25">
      <c r="A13" s="44" t="s">
        <v>158</v>
      </c>
      <c r="B13" s="112"/>
      <c r="C13" s="6"/>
      <c r="D13" s="6"/>
      <c r="E13" s="6"/>
      <c r="F13" s="42"/>
      <c r="G13" s="43">
        <f>0.0094*POWER(C13,2.033)*POWER(D13,1.056)</f>
        <v>0</v>
      </c>
      <c r="H13" s="43">
        <f>0.01342*POWER(C13,2.361)</f>
        <v>0</v>
      </c>
      <c r="I13" s="43"/>
      <c r="J13" s="43">
        <f>0.000059*POWER(C13,3.76)</f>
        <v>0</v>
      </c>
      <c r="K13" s="43">
        <f>0.0128*POWER(C13,1.858)</f>
        <v>0</v>
      </c>
      <c r="L13" s="43">
        <f>0.000922*POWER(C13,2.632)</f>
        <v>0</v>
      </c>
      <c r="M13" s="43">
        <f>0.0053*POWER(C13,2.393)</f>
        <v>0</v>
      </c>
      <c r="N13" s="43">
        <f>0.1451*POWER(C13,1.403)</f>
        <v>0</v>
      </c>
      <c r="O13" s="43">
        <f t="shared" si="0"/>
        <v>0</v>
      </c>
      <c r="P13" s="42">
        <f>IF(C13&lt;22.5,170.3,(IF(C13&lt;42.5,199.5,229.4)))</f>
        <v>170.3</v>
      </c>
      <c r="Q13" s="33">
        <f t="shared" si="1"/>
        <v>170.3</v>
      </c>
      <c r="R13" s="50" t="e">
        <f>#REF!*0.5*44/12</f>
        <v>#REF!</v>
      </c>
      <c r="U13" t="s">
        <v>160</v>
      </c>
      <c r="V13">
        <v>35</v>
      </c>
      <c r="W13">
        <v>12.833333333333332</v>
      </c>
      <c r="X13">
        <v>13.766666666666667</v>
      </c>
      <c r="Y13">
        <v>0.25871283899999992</v>
      </c>
      <c r="Z13">
        <v>0.17066866221913576</v>
      </c>
      <c r="AA13">
        <v>0.34031622520621863</v>
      </c>
    </row>
    <row r="14" spans="1:27" x14ac:dyDescent="0.25">
      <c r="A14" s="44" t="s">
        <v>159</v>
      </c>
      <c r="B14" s="112"/>
      <c r="C14" s="6"/>
      <c r="D14" s="6"/>
      <c r="E14" s="6"/>
      <c r="F14" s="42">
        <f t="shared" ref="F14:F19" si="2">IF(C14&gt;22.5,1,0)</f>
        <v>0</v>
      </c>
      <c r="G14" s="43">
        <f t="shared" ref="G14:G19" si="3">0.0676*POWER(C14,2)+0.0182*POWER(C14,2)*D14</f>
        <v>0</v>
      </c>
      <c r="H14" s="43"/>
      <c r="I14" s="43">
        <f t="shared" ref="I14:I19" si="4">(0.83*POWER((C14-22.5),2)-0.0248*POWER((C14-22.5),2)*D14)*F14</f>
        <v>0</v>
      </c>
      <c r="J14" s="43">
        <f t="shared" ref="J14:J19" si="5">0.0792*POWER(C14,2)</f>
        <v>0</v>
      </c>
      <c r="K14" s="43">
        <f t="shared" ref="K14:K19" si="6">0.093*POWER(C14,2)-0.00226*POWER(C14,2)*D14</f>
        <v>0</v>
      </c>
      <c r="L14" s="43"/>
      <c r="M14" s="43"/>
      <c r="N14" s="43"/>
      <c r="O14" s="43">
        <f t="shared" si="0"/>
        <v>0</v>
      </c>
      <c r="P14" s="43">
        <f>12.143*POWER(C14,1.111)</f>
        <v>0</v>
      </c>
      <c r="Q14" s="33">
        <f t="shared" si="1"/>
        <v>0</v>
      </c>
      <c r="R14" s="50" t="e">
        <f>#REF!*0.5*44/12</f>
        <v>#REF!</v>
      </c>
      <c r="U14" t="s">
        <v>160</v>
      </c>
      <c r="V14">
        <v>40</v>
      </c>
      <c r="W14">
        <v>15.3</v>
      </c>
      <c r="X14">
        <v>14.5</v>
      </c>
      <c r="Y14">
        <v>0.22629552729785765</v>
      </c>
      <c r="Z14">
        <v>0.24759816345000005</v>
      </c>
      <c r="AA14">
        <v>-9.4136355263014823E-2</v>
      </c>
    </row>
    <row r="15" spans="1:27" x14ac:dyDescent="0.25">
      <c r="A15" s="103" t="s">
        <v>160</v>
      </c>
      <c r="B15" s="117">
        <v>20</v>
      </c>
      <c r="C15" s="118">
        <f>'Alt_diám tablas producc'!C37</f>
        <v>6.1</v>
      </c>
      <c r="D15" s="118">
        <f>'Alt_diám tablas producc'!D37</f>
        <v>8.6</v>
      </c>
      <c r="E15" s="19">
        <f>'Alt_diám tablas producc'!E37</f>
        <v>1.5217287788533138E-2</v>
      </c>
      <c r="F15" s="42">
        <f t="shared" si="2"/>
        <v>0</v>
      </c>
      <c r="G15" s="43">
        <f t="shared" si="3"/>
        <v>8.3395051999999978</v>
      </c>
      <c r="H15" s="43"/>
      <c r="I15" s="43">
        <f t="shared" si="4"/>
        <v>0</v>
      </c>
      <c r="J15" s="43">
        <f t="shared" si="5"/>
        <v>2.9470319999999997</v>
      </c>
      <c r="K15" s="43">
        <f t="shared" si="6"/>
        <v>2.7373164399999999</v>
      </c>
      <c r="L15" s="43"/>
      <c r="M15" s="43"/>
      <c r="N15" s="43"/>
      <c r="O15" s="43">
        <f t="shared" si="0"/>
        <v>14.023853639999999</v>
      </c>
      <c r="P15" s="43">
        <f>0.106*POWER(C15,2)</f>
        <v>3.9442599999999994</v>
      </c>
      <c r="Q15" s="33">
        <f t="shared" si="1"/>
        <v>17.968113639999999</v>
      </c>
      <c r="R15" s="19">
        <f>(Q15*0.5*44/12)/1000</f>
        <v>3.2941541673333324E-2</v>
      </c>
      <c r="S15" s="121">
        <f>(E15-R15)/E15</f>
        <v>-1.1647446069960083</v>
      </c>
    </row>
    <row r="16" spans="1:27" x14ac:dyDescent="0.25">
      <c r="A16" s="103" t="s">
        <v>160</v>
      </c>
      <c r="B16" s="117">
        <v>25</v>
      </c>
      <c r="C16" s="118">
        <f>'Alt_diám tablas producc'!C38</f>
        <v>7.625</v>
      </c>
      <c r="D16" s="118">
        <f>'Alt_diám tablas producc'!D38</f>
        <v>10.75</v>
      </c>
      <c r="E16" s="19">
        <f>'Alt_diám tablas producc'!E38</f>
        <v>7.1845487999999916E-2</v>
      </c>
      <c r="F16" s="42">
        <f t="shared" si="2"/>
        <v>0</v>
      </c>
      <c r="G16" s="43">
        <f t="shared" si="3"/>
        <v>15.305519531249999</v>
      </c>
      <c r="H16" s="43"/>
      <c r="I16" s="43">
        <f t="shared" si="4"/>
        <v>0</v>
      </c>
      <c r="J16" s="43">
        <f t="shared" si="5"/>
        <v>4.6047375000000006</v>
      </c>
      <c r="K16" s="43">
        <f t="shared" si="6"/>
        <v>3.9945516406250001</v>
      </c>
      <c r="L16" s="43"/>
      <c r="M16" s="43"/>
      <c r="N16" s="43"/>
      <c r="O16" s="43">
        <f t="shared" si="0"/>
        <v>23.904808671874999</v>
      </c>
      <c r="P16" s="43">
        <f>0.106*POWER(C16,2)</f>
        <v>6.1629062499999998</v>
      </c>
      <c r="Q16" s="33">
        <f t="shared" si="1"/>
        <v>30.067714921874998</v>
      </c>
      <c r="R16" s="19">
        <f>(Q16*0.5*44/12)/1000</f>
        <v>5.5124144023437502E-2</v>
      </c>
      <c r="S16" s="121">
        <f>(E16-R16)/E16</f>
        <v>0.23274034935307883</v>
      </c>
    </row>
    <row r="17" spans="1:27" x14ac:dyDescent="0.25">
      <c r="A17" s="103" t="s">
        <v>160</v>
      </c>
      <c r="B17" s="117">
        <v>30</v>
      </c>
      <c r="C17" s="118">
        <f>'Alt_diám tablas producc'!C39</f>
        <v>11</v>
      </c>
      <c r="D17" s="118">
        <f>'Alt_diám tablas producc'!D39</f>
        <v>11.8</v>
      </c>
      <c r="E17" s="19">
        <f>'Alt_diám tablas producc'!E39</f>
        <v>8.4086478733031669E-2</v>
      </c>
      <c r="F17" s="42">
        <f t="shared" si="2"/>
        <v>0</v>
      </c>
      <c r="G17" s="43">
        <f t="shared" si="3"/>
        <v>34.165559999999999</v>
      </c>
      <c r="H17" s="43"/>
      <c r="I17" s="43">
        <f t="shared" si="4"/>
        <v>0</v>
      </c>
      <c r="J17" s="43">
        <f t="shared" si="5"/>
        <v>9.5832000000000015</v>
      </c>
      <c r="K17" s="43">
        <f t="shared" si="6"/>
        <v>8.0261720000000008</v>
      </c>
      <c r="L17" s="43"/>
      <c r="M17" s="43"/>
      <c r="N17" s="43"/>
      <c r="O17" s="43">
        <f t="shared" si="0"/>
        <v>51.774932000000007</v>
      </c>
      <c r="P17" s="43">
        <f>0.106*POWER(C17,2)</f>
        <v>12.826000000000001</v>
      </c>
      <c r="Q17" s="33">
        <f t="shared" si="1"/>
        <v>64.600932</v>
      </c>
      <c r="R17" s="19">
        <f>(Q17*0.5*44/12)/1000</f>
        <v>0.11843504199999999</v>
      </c>
      <c r="S17" s="121">
        <f>(E17-R17)/E17</f>
        <v>-0.40849092249447694</v>
      </c>
    </row>
    <row r="18" spans="1:27" x14ac:dyDescent="0.25">
      <c r="A18" s="103" t="s">
        <v>160</v>
      </c>
      <c r="B18" s="117">
        <v>35</v>
      </c>
      <c r="C18" s="118">
        <f>'Alt_diám tablas producc'!C40</f>
        <v>12.833333333333332</v>
      </c>
      <c r="D18" s="118">
        <f>'Alt_diám tablas producc'!D40</f>
        <v>13.766666666666667</v>
      </c>
      <c r="E18" s="19">
        <f>'Alt_diám tablas producc'!E40</f>
        <v>0.25871283899999992</v>
      </c>
      <c r="F18" s="42">
        <f t="shared" si="2"/>
        <v>0</v>
      </c>
      <c r="G18" s="43">
        <f t="shared" si="3"/>
        <v>52.398086481481471</v>
      </c>
      <c r="H18" s="43"/>
      <c r="I18" s="43">
        <f t="shared" si="4"/>
        <v>0</v>
      </c>
      <c r="J18" s="43">
        <f t="shared" si="5"/>
        <v>13.043799999999997</v>
      </c>
      <c r="K18" s="43">
        <f t="shared" si="6"/>
        <v>10.192499981481479</v>
      </c>
      <c r="L18" s="43"/>
      <c r="M18" s="43"/>
      <c r="N18" s="43"/>
      <c r="O18" s="43">
        <f t="shared" si="0"/>
        <v>75.634386462962951</v>
      </c>
      <c r="P18" s="43">
        <f>0.106*POWER(C18,2)</f>
        <v>17.457611111111106</v>
      </c>
      <c r="Q18" s="33">
        <f t="shared" si="1"/>
        <v>93.091997574074057</v>
      </c>
      <c r="R18" s="19">
        <f>(Q18*0.5*44/12)/1000</f>
        <v>0.17066866221913576</v>
      </c>
      <c r="S18" s="121">
        <f>(E18-R18)/E18</f>
        <v>0.34031622520621863</v>
      </c>
    </row>
    <row r="19" spans="1:27" x14ac:dyDescent="0.25">
      <c r="A19" s="103" t="s">
        <v>160</v>
      </c>
      <c r="B19" s="117">
        <v>40</v>
      </c>
      <c r="C19" s="118">
        <f>'Alt_diám tablas producc'!C41</f>
        <v>15.3</v>
      </c>
      <c r="D19" s="118">
        <f>'Alt_diám tablas producc'!D41</f>
        <v>14.5</v>
      </c>
      <c r="E19" s="19">
        <f>'Alt_diám tablas producc'!E41</f>
        <v>0.22629552729785765</v>
      </c>
      <c r="F19" s="42">
        <f t="shared" si="2"/>
        <v>0</v>
      </c>
      <c r="G19" s="43">
        <f t="shared" si="3"/>
        <v>77.600835000000004</v>
      </c>
      <c r="H19" s="43"/>
      <c r="I19" s="43">
        <f t="shared" si="4"/>
        <v>0</v>
      </c>
      <c r="J19" s="43">
        <f t="shared" si="5"/>
        <v>18.539928000000003</v>
      </c>
      <c r="K19" s="43">
        <f t="shared" si="6"/>
        <v>14.099240700000003</v>
      </c>
      <c r="L19" s="43"/>
      <c r="M19" s="43"/>
      <c r="N19" s="43"/>
      <c r="O19" s="43">
        <f t="shared" si="0"/>
        <v>110.24000370000002</v>
      </c>
      <c r="P19" s="43">
        <f>0.106*POWER(C19,2)</f>
        <v>24.813540000000003</v>
      </c>
      <c r="Q19" s="33">
        <f t="shared" si="1"/>
        <v>135.05354370000003</v>
      </c>
      <c r="R19" s="19">
        <f>(Q19*0.5*44/12)/1000</f>
        <v>0.24759816345000005</v>
      </c>
      <c r="S19" s="121">
        <f>(E19-R19)/E19</f>
        <v>-9.4136355263014823E-2</v>
      </c>
    </row>
    <row r="20" spans="1:27" x14ac:dyDescent="0.25">
      <c r="A20" s="44" t="s">
        <v>161</v>
      </c>
      <c r="B20" s="112"/>
      <c r="C20" s="6"/>
      <c r="D20" s="6"/>
      <c r="E20" s="6"/>
      <c r="F20" s="42">
        <f>IF(C20&gt;12.5,1,0)</f>
        <v>0</v>
      </c>
      <c r="G20" s="43">
        <f>0.0296*POWER(C20,2)*D20</f>
        <v>0</v>
      </c>
      <c r="H20" s="43"/>
      <c r="I20" s="43">
        <f>0.231*POWER((C20-12.5),2)*F20</f>
        <v>0</v>
      </c>
      <c r="J20" s="43">
        <f>0.0925*POWER(C20,2)</f>
        <v>0</v>
      </c>
      <c r="K20" s="43">
        <f>2.005*C20</f>
        <v>0</v>
      </c>
      <c r="L20" s="43"/>
      <c r="M20" s="43"/>
      <c r="N20" s="43"/>
      <c r="O20" s="43">
        <f t="shared" si="0"/>
        <v>0</v>
      </c>
      <c r="P20" s="43">
        <f>0.359*POWER(C20,2)</f>
        <v>0</v>
      </c>
      <c r="Q20" s="33">
        <f t="shared" si="1"/>
        <v>0</v>
      </c>
      <c r="R20" s="50" t="e">
        <f>#REF!*0.5*44/12</f>
        <v>#REF!</v>
      </c>
      <c r="U20" t="s">
        <v>44</v>
      </c>
      <c r="V20">
        <v>20</v>
      </c>
      <c r="W20">
        <v>14.6</v>
      </c>
      <c r="X20">
        <v>12.5</v>
      </c>
      <c r="Y20">
        <v>5.106013626430133E-2</v>
      </c>
      <c r="Z20">
        <v>0.18382044761299327</v>
      </c>
      <c r="AA20">
        <v>-2.6000774980600911</v>
      </c>
    </row>
    <row r="21" spans="1:27" x14ac:dyDescent="0.25">
      <c r="A21" s="44" t="s">
        <v>105</v>
      </c>
      <c r="B21" s="112"/>
      <c r="C21" s="6"/>
      <c r="D21" s="6"/>
      <c r="E21" s="6"/>
      <c r="F21" s="42">
        <f>IF(C21&gt;22.5,1,0)</f>
        <v>0</v>
      </c>
      <c r="G21" s="43">
        <f>0.0132*POWER(C21,2)*D21+0.217*C21*D21</f>
        <v>0</v>
      </c>
      <c r="H21" s="43"/>
      <c r="I21" s="43">
        <f>0.107*POWER((C21-22.5),2)*F21</f>
        <v>0</v>
      </c>
      <c r="J21" s="43">
        <f>0.00792*POWER(C21,2)*D21</f>
        <v>0</v>
      </c>
      <c r="K21" s="43">
        <f>0.273*C21*D21</f>
        <v>0</v>
      </c>
      <c r="L21" s="43"/>
      <c r="M21" s="43"/>
      <c r="N21" s="43"/>
      <c r="O21" s="43">
        <f t="shared" si="0"/>
        <v>0</v>
      </c>
      <c r="P21" s="43">
        <f>0.0767*POWER(C21,2)</f>
        <v>0</v>
      </c>
      <c r="Q21" s="33">
        <f t="shared" si="1"/>
        <v>0</v>
      </c>
      <c r="R21" s="50" t="e">
        <f>#REF!*0.5*44/12</f>
        <v>#REF!</v>
      </c>
      <c r="U21" t="s">
        <v>44</v>
      </c>
      <c r="V21">
        <v>25</v>
      </c>
      <c r="W21">
        <v>18.899999999999999</v>
      </c>
      <c r="X21">
        <v>15.7</v>
      </c>
      <c r="Y21">
        <v>0.1640738859845656</v>
      </c>
      <c r="Z21">
        <v>0.34826063882451141</v>
      </c>
      <c r="AA21">
        <v>-1.1225842048823798</v>
      </c>
    </row>
    <row r="22" spans="1:27" x14ac:dyDescent="0.25">
      <c r="A22" s="44" t="s">
        <v>162</v>
      </c>
      <c r="B22" s="112"/>
      <c r="C22" s="6"/>
      <c r="D22" s="6"/>
      <c r="E22" s="6"/>
      <c r="F22" s="42"/>
      <c r="G22" s="43">
        <f>0.0114*POWER(C22,2)*D22</f>
        <v>0</v>
      </c>
      <c r="H22" s="43"/>
      <c r="I22" s="43">
        <f>0.0108*POWER(C22,2)*D22</f>
        <v>0</v>
      </c>
      <c r="J22" s="43">
        <f>1.672*C22</f>
        <v>0</v>
      </c>
      <c r="K22" s="43">
        <f>0.0354*POWER(C22,2)+1.187*D22</f>
        <v>0</v>
      </c>
      <c r="L22" s="43"/>
      <c r="M22" s="43"/>
      <c r="N22" s="43"/>
      <c r="O22" s="43">
        <f t="shared" si="0"/>
        <v>0</v>
      </c>
      <c r="P22" s="43">
        <f>0.147*POWER(C22,2)</f>
        <v>0</v>
      </c>
      <c r="Q22" s="33">
        <f t="shared" si="1"/>
        <v>0</v>
      </c>
      <c r="R22" s="50" t="e">
        <f>#REF!*0.5*44/12</f>
        <v>#REF!</v>
      </c>
      <c r="U22" t="s">
        <v>44</v>
      </c>
      <c r="V22">
        <v>30</v>
      </c>
      <c r="W22">
        <v>23.2</v>
      </c>
      <c r="X22">
        <v>18.600000000000001</v>
      </c>
      <c r="Y22">
        <v>0.33158945736434114</v>
      </c>
      <c r="Z22">
        <v>0.57646899987068079</v>
      </c>
      <c r="AA22">
        <v>-0.73850219621811708</v>
      </c>
    </row>
    <row r="23" spans="1:27" x14ac:dyDescent="0.25">
      <c r="A23" s="103" t="s">
        <v>43</v>
      </c>
      <c r="B23" s="117">
        <v>20</v>
      </c>
      <c r="C23" s="118">
        <f>'Alt_diám tablas producc'!C2</f>
        <v>3.2</v>
      </c>
      <c r="D23" s="118">
        <f>'Alt_diám tablas producc'!D2</f>
        <v>4.7</v>
      </c>
      <c r="E23" s="19">
        <f>'Alt_diám tablas producc'!E2</f>
        <v>0</v>
      </c>
      <c r="F23" s="42">
        <f>IF(C23&gt;27.5,1,0)</f>
        <v>0</v>
      </c>
      <c r="G23" s="43">
        <f>0.0139*POWER(C23,2)*D23</f>
        <v>0.66897920000000011</v>
      </c>
      <c r="H23" s="43"/>
      <c r="I23" s="43">
        <f>3.926*(C23-27.5)*F23</f>
        <v>0</v>
      </c>
      <c r="J23" s="43">
        <f>4.257+0.00506*POWER(C23,2)*D23-0.0722*C23*D23</f>
        <v>3.4146396799999992</v>
      </c>
      <c r="K23" s="43">
        <f>6.197+0.00932*POWER(D23,2)*F23-0.0686*D23*F23</f>
        <v>6.1970000000000001</v>
      </c>
      <c r="L23" s="43"/>
      <c r="M23" s="43"/>
      <c r="N23" s="43"/>
      <c r="O23" s="43">
        <f t="shared" si="0"/>
        <v>10.280618879999999</v>
      </c>
      <c r="P23" s="43">
        <f>0.0785*POWER(C23,2)</f>
        <v>0.80384000000000011</v>
      </c>
      <c r="Q23" s="33">
        <f t="shared" si="1"/>
        <v>11.08445888</v>
      </c>
      <c r="R23" s="19">
        <f t="shared" ref="R23:R37" si="7">(Q23*0.5*44/12)/1000</f>
        <v>2.0321507946666668E-2</v>
      </c>
      <c r="S23" s="121" t="e">
        <f t="shared" ref="S23:S37" si="8">(E23-R23)/E23</f>
        <v>#DIV/0!</v>
      </c>
    </row>
    <row r="24" spans="1:27" x14ac:dyDescent="0.25">
      <c r="A24" s="103" t="s">
        <v>43</v>
      </c>
      <c r="B24" s="117">
        <v>25</v>
      </c>
      <c r="C24" s="118">
        <f>'Alt_diám tablas producc'!C3</f>
        <v>5.9</v>
      </c>
      <c r="D24" s="118">
        <f>'Alt_diám tablas producc'!D3</f>
        <v>5.8</v>
      </c>
      <c r="E24" s="19">
        <f>'Alt_diám tablas producc'!E3</f>
        <v>5.7257669413919412E-3</v>
      </c>
      <c r="F24" s="42">
        <f>IF(C24&gt;27.5,1,0)</f>
        <v>0</v>
      </c>
      <c r="G24" s="43">
        <f>0.0139*POWER(C24,2)*D24</f>
        <v>2.8063821999999998</v>
      </c>
      <c r="H24" s="43"/>
      <c r="I24" s="43">
        <f>3.926*(C24-27.5)*F24</f>
        <v>0</v>
      </c>
      <c r="J24" s="43">
        <f>4.257+0.00506*POWER(C24,2)*D24-0.0722*C24*D24</f>
        <v>2.8079198800000005</v>
      </c>
      <c r="K24" s="43">
        <f>6.197+0.00932*POWER(D24,2)*F24-0.0686*D24*F24</f>
        <v>6.1970000000000001</v>
      </c>
      <c r="L24" s="43"/>
      <c r="M24" s="43"/>
      <c r="N24" s="43"/>
      <c r="O24" s="43">
        <f t="shared" si="0"/>
        <v>11.811302080000001</v>
      </c>
      <c r="P24" s="43">
        <f>0.0785*POWER(C24,2)</f>
        <v>2.7325850000000003</v>
      </c>
      <c r="Q24" s="33">
        <f t="shared" si="1"/>
        <v>14.543887080000001</v>
      </c>
      <c r="R24" s="19">
        <f t="shared" si="7"/>
        <v>2.666379298E-2</v>
      </c>
      <c r="S24" s="121">
        <f t="shared" si="8"/>
        <v>-3.6568072457238365</v>
      </c>
    </row>
    <row r="25" spans="1:27" x14ac:dyDescent="0.25">
      <c r="A25" s="103" t="s">
        <v>43</v>
      </c>
      <c r="B25" s="117">
        <v>30</v>
      </c>
      <c r="C25" s="118">
        <f>'Alt_diám tablas producc'!C4</f>
        <v>8.6999999999999993</v>
      </c>
      <c r="D25" s="118">
        <f>'Alt_diám tablas producc'!D4</f>
        <v>6.9</v>
      </c>
      <c r="E25" s="19">
        <f>'Alt_diám tablas producc'!E4</f>
        <v>1.6673433333333335E-2</v>
      </c>
      <c r="F25" s="42">
        <f>IF(C25&gt;27.5,1,0)</f>
        <v>0</v>
      </c>
      <c r="G25" s="43">
        <f>0.0139*POWER(C25,2)*D25</f>
        <v>7.2594278999999977</v>
      </c>
      <c r="H25" s="43"/>
      <c r="I25" s="43">
        <f>3.926*(C25-27.5)*F25</f>
        <v>0</v>
      </c>
      <c r="J25" s="43">
        <f>4.257+0.00506*POWER(C25,2)*D25-0.0722*C25*D25</f>
        <v>2.5654746599999996</v>
      </c>
      <c r="K25" s="43">
        <f>6.197+0.00932*POWER(D25,2)*F25-0.0686*D25*F25</f>
        <v>6.1970000000000001</v>
      </c>
      <c r="L25" s="43"/>
      <c r="M25" s="43"/>
      <c r="N25" s="43"/>
      <c r="O25" s="43">
        <f t="shared" si="0"/>
        <v>16.021902559999997</v>
      </c>
      <c r="P25" s="43">
        <f>0.0785*POWER(C25,2)</f>
        <v>5.9416649999999986</v>
      </c>
      <c r="Q25" s="33">
        <f t="shared" si="1"/>
        <v>21.963567559999994</v>
      </c>
      <c r="R25" s="19">
        <f t="shared" si="7"/>
        <v>4.0266540526666651E-2</v>
      </c>
      <c r="S25" s="121">
        <f t="shared" si="8"/>
        <v>-1.4150119367536769</v>
      </c>
    </row>
    <row r="26" spans="1:27" x14ac:dyDescent="0.25">
      <c r="A26" s="103" t="s">
        <v>43</v>
      </c>
      <c r="B26" s="117">
        <v>35</v>
      </c>
      <c r="C26" s="118">
        <f>'Alt_diám tablas producc'!C5</f>
        <v>11.4</v>
      </c>
      <c r="D26" s="118">
        <f>'Alt_diám tablas producc'!D5</f>
        <v>7.9</v>
      </c>
      <c r="E26" s="19">
        <f>'Alt_diám tablas producc'!E5</f>
        <v>3.6539242599000384E-2</v>
      </c>
      <c r="F26" s="42">
        <f>IF(C26&gt;27.5,1,0)</f>
        <v>0</v>
      </c>
      <c r="G26" s="43">
        <f>0.0139*POWER(C26,2)*D26</f>
        <v>14.270907600000001</v>
      </c>
      <c r="H26" s="43"/>
      <c r="I26" s="43">
        <f>3.926*(C26-27.5)*F26</f>
        <v>0</v>
      </c>
      <c r="J26" s="43">
        <f>4.257+0.00506*POWER(C26,2)*D26-0.0722*C26*D26</f>
        <v>2.9496890400000009</v>
      </c>
      <c r="K26" s="43">
        <f>6.197+0.00932*POWER(D26,2)*F26-0.0686*D26*F26</f>
        <v>6.1970000000000001</v>
      </c>
      <c r="L26" s="43"/>
      <c r="M26" s="43"/>
      <c r="N26" s="43"/>
      <c r="O26" s="43">
        <f t="shared" si="0"/>
        <v>23.417596640000003</v>
      </c>
      <c r="P26" s="43">
        <f>0.0785*POWER(C26,2)</f>
        <v>10.20186</v>
      </c>
      <c r="Q26" s="33">
        <f t="shared" si="1"/>
        <v>33.619456640000003</v>
      </c>
      <c r="R26" s="19">
        <f t="shared" si="7"/>
        <v>6.1635670506666677E-2</v>
      </c>
      <c r="S26" s="121">
        <f t="shared" si="8"/>
        <v>-0.68683492384028955</v>
      </c>
    </row>
    <row r="27" spans="1:27" x14ac:dyDescent="0.25">
      <c r="A27" s="103" t="s">
        <v>43</v>
      </c>
      <c r="B27" s="117">
        <v>40</v>
      </c>
      <c r="C27" s="118">
        <f>'Alt_diám tablas producc'!C6</f>
        <v>14.1</v>
      </c>
      <c r="D27" s="118">
        <f>'Alt_diám tablas producc'!D6</f>
        <v>9</v>
      </c>
      <c r="E27" s="19">
        <f>'Alt_diám tablas producc'!E6</f>
        <v>7.085028328611899E-2</v>
      </c>
      <c r="F27" s="42">
        <f>IF(C27&gt;27.5,1,0)</f>
        <v>0</v>
      </c>
      <c r="G27" s="43">
        <f>0.0139*POWER(C27,2)*D27</f>
        <v>24.871130999999998</v>
      </c>
      <c r="H27" s="43"/>
      <c r="I27" s="43">
        <f>3.926*(C27-27.5)*F27</f>
        <v>0</v>
      </c>
      <c r="J27" s="43">
        <f>4.257+0.00506*POWER(C27,2)*D27-0.0722*C27*D27</f>
        <v>4.1486274000000023</v>
      </c>
      <c r="K27" s="43">
        <f>6.197+0.00932*POWER(D27,2)*F27-0.0686*D27*F27</f>
        <v>6.1970000000000001</v>
      </c>
      <c r="L27" s="43"/>
      <c r="M27" s="43"/>
      <c r="N27" s="43"/>
      <c r="O27" s="43">
        <f t="shared" si="0"/>
        <v>35.216758400000003</v>
      </c>
      <c r="P27" s="43">
        <f>0.0785*POWER(C27,2)</f>
        <v>15.606585000000001</v>
      </c>
      <c r="Q27" s="33">
        <f t="shared" si="1"/>
        <v>50.823343400000006</v>
      </c>
      <c r="R27" s="19">
        <f t="shared" si="7"/>
        <v>9.3176129566666682E-2</v>
      </c>
      <c r="S27" s="121">
        <f t="shared" si="8"/>
        <v>-0.31511301359781269</v>
      </c>
    </row>
    <row r="28" spans="1:27" x14ac:dyDescent="0.25">
      <c r="A28" s="103" t="s">
        <v>44</v>
      </c>
      <c r="B28" s="117">
        <v>20</v>
      </c>
      <c r="C28" s="118">
        <f>'Alt_diám tablas producc'!C7</f>
        <v>14.6</v>
      </c>
      <c r="D28" s="118">
        <f>'Alt_diám tablas producc'!D7</f>
        <v>12.5</v>
      </c>
      <c r="E28" s="19">
        <f>'Alt_diám tablas producc'!E7</f>
        <v>5.106013626430133E-2</v>
      </c>
      <c r="F28" s="42">
        <f>IF(C28&gt;32.5,1,0)</f>
        <v>0</v>
      </c>
      <c r="G28" s="43">
        <f>0.0403*POWER(C28,1.838)*POWER(D28,0.945)</f>
        <v>60.529286883024071</v>
      </c>
      <c r="H28" s="43"/>
      <c r="I28" s="43">
        <f>0.228*POWER((C28-32.5),2)*F28</f>
        <v>0</v>
      </c>
      <c r="J28" s="43">
        <f>0.0521*POWER(C28,2)</f>
        <v>11.105636000000001</v>
      </c>
      <c r="K28" s="43">
        <f>0.072*POWER(C28,2)</f>
        <v>15.347519999999999</v>
      </c>
      <c r="L28" s="43"/>
      <c r="M28" s="43"/>
      <c r="N28" s="43"/>
      <c r="O28" s="43">
        <f t="shared" si="0"/>
        <v>86.982442883024078</v>
      </c>
      <c r="P28" s="43">
        <f>0.0189*POWER(C28,2.445)</f>
        <v>13.283255814972245</v>
      </c>
      <c r="Q28" s="33">
        <f t="shared" si="1"/>
        <v>100.26569869799633</v>
      </c>
      <c r="R28" s="19">
        <f t="shared" si="7"/>
        <v>0.18382044761299327</v>
      </c>
      <c r="S28" s="121">
        <f t="shared" si="8"/>
        <v>-2.6000774980600911</v>
      </c>
    </row>
    <row r="29" spans="1:27" x14ac:dyDescent="0.25">
      <c r="A29" s="103" t="s">
        <v>44</v>
      </c>
      <c r="B29" s="117">
        <v>25</v>
      </c>
      <c r="C29" s="118">
        <f>'Alt_diám tablas producc'!C8</f>
        <v>18.899999999999999</v>
      </c>
      <c r="D29" s="118">
        <f>'Alt_diám tablas producc'!D8</f>
        <v>15.7</v>
      </c>
      <c r="E29" s="19">
        <f>'Alt_diám tablas producc'!E8</f>
        <v>0.1640738859845656</v>
      </c>
      <c r="F29" s="42">
        <f>IF(C29&gt;32.5,1,0)</f>
        <v>0</v>
      </c>
      <c r="G29" s="43">
        <f>0.0403*POWER(C29,1.838)*POWER(D29,0.945)</f>
        <v>120.66102596297617</v>
      </c>
      <c r="H29" s="43"/>
      <c r="I29" s="43">
        <f>0.228*POWER((C29-32.5),2)*F29</f>
        <v>0</v>
      </c>
      <c r="J29" s="43">
        <f>0.0521*POWER(C29,2)</f>
        <v>18.610640999999998</v>
      </c>
      <c r="K29" s="43">
        <f>0.072*POWER(C29,2)</f>
        <v>25.719119999999993</v>
      </c>
      <c r="L29" s="43"/>
      <c r="M29" s="43"/>
      <c r="N29" s="43"/>
      <c r="O29" s="43">
        <f t="shared" si="0"/>
        <v>164.99078696297616</v>
      </c>
      <c r="P29" s="43">
        <f>0.0189*POWER(C29,2.445)</f>
        <v>24.969561486757314</v>
      </c>
      <c r="Q29" s="33">
        <f t="shared" si="1"/>
        <v>189.96034844973349</v>
      </c>
      <c r="R29" s="19">
        <f t="shared" si="7"/>
        <v>0.34826063882451141</v>
      </c>
      <c r="S29" s="121">
        <f t="shared" si="8"/>
        <v>-1.1225842048823798</v>
      </c>
    </row>
    <row r="30" spans="1:27" x14ac:dyDescent="0.25">
      <c r="A30" s="103" t="s">
        <v>44</v>
      </c>
      <c r="B30" s="117">
        <v>30</v>
      </c>
      <c r="C30" s="118">
        <f>'Alt_diám tablas producc'!C9</f>
        <v>23.2</v>
      </c>
      <c r="D30" s="118">
        <f>'Alt_diám tablas producc'!D9</f>
        <v>18.600000000000001</v>
      </c>
      <c r="E30" s="19">
        <f>'Alt_diám tablas producc'!E9</f>
        <v>0.33158945736434114</v>
      </c>
      <c r="F30" s="42">
        <f>IF(C30&gt;32.5,1,0)</f>
        <v>0</v>
      </c>
      <c r="G30" s="43">
        <f>0.0403*POWER(C30,1.838)*POWER(D30,0.945)</f>
        <v>206.42471547351968</v>
      </c>
      <c r="H30" s="43"/>
      <c r="I30" s="43">
        <f>0.228*POWER((C30-32.5),2)*F30</f>
        <v>0</v>
      </c>
      <c r="J30" s="43">
        <f>0.0521*POWER(C30,2)</f>
        <v>28.042304000000001</v>
      </c>
      <c r="K30" s="43">
        <f>0.072*POWER(C30,2)</f>
        <v>38.753279999999997</v>
      </c>
      <c r="L30" s="43"/>
      <c r="M30" s="43"/>
      <c r="N30" s="43"/>
      <c r="O30" s="43">
        <f t="shared" si="0"/>
        <v>273.22029947351967</v>
      </c>
      <c r="P30" s="43">
        <f>0.0189*POWER(C30,2.445)</f>
        <v>41.217336819578954</v>
      </c>
      <c r="Q30" s="33">
        <f t="shared" si="1"/>
        <v>314.43763629309865</v>
      </c>
      <c r="R30" s="19">
        <f t="shared" si="7"/>
        <v>0.57646899987068079</v>
      </c>
      <c r="S30" s="121">
        <f t="shared" si="8"/>
        <v>-0.73850219621811708</v>
      </c>
    </row>
    <row r="31" spans="1:27" x14ac:dyDescent="0.25">
      <c r="A31" s="103" t="s">
        <v>44</v>
      </c>
      <c r="B31" s="117">
        <v>35</v>
      </c>
      <c r="C31" s="118">
        <f>'Alt_diám tablas producc'!C10</f>
        <v>27.5</v>
      </c>
      <c r="D31" s="118">
        <f>'Alt_diám tablas producc'!D10</f>
        <v>21.3</v>
      </c>
      <c r="E31" s="19">
        <f>'Alt_diám tablas producc'!E10</f>
        <v>0.60059647999999999</v>
      </c>
      <c r="F31" s="42">
        <f>IF(C31&gt;32.5,1,0)</f>
        <v>0</v>
      </c>
      <c r="G31" s="43">
        <f>0.0403*POWER(C31,1.838)*POWER(D31,0.945)</f>
        <v>320.71351572946998</v>
      </c>
      <c r="H31" s="43"/>
      <c r="I31" s="43">
        <f>0.228*POWER((C31-32.5),2)*F31</f>
        <v>0</v>
      </c>
      <c r="J31" s="43">
        <f>0.0521*POWER(C31,2)</f>
        <v>39.400624999999998</v>
      </c>
      <c r="K31" s="43">
        <f>0.072*POWER(C31,2)</f>
        <v>54.449999999999996</v>
      </c>
      <c r="L31" s="43"/>
      <c r="M31" s="43"/>
      <c r="N31" s="43"/>
      <c r="O31" s="43">
        <f t="shared" si="0"/>
        <v>414.56414072946995</v>
      </c>
      <c r="P31" s="43">
        <f>0.0189*POWER(C31,2.445)</f>
        <v>62.464064570141886</v>
      </c>
      <c r="Q31" s="33">
        <f t="shared" si="1"/>
        <v>477.02820529961184</v>
      </c>
      <c r="R31" s="19">
        <f t="shared" si="7"/>
        <v>0.87455170971595497</v>
      </c>
      <c r="S31" s="121">
        <f t="shared" si="8"/>
        <v>-0.45613858695268245</v>
      </c>
    </row>
    <row r="32" spans="1:27" x14ac:dyDescent="0.25">
      <c r="A32" s="103" t="s">
        <v>44</v>
      </c>
      <c r="B32" s="117">
        <v>40</v>
      </c>
      <c r="C32" s="118">
        <f>'Alt_diám tablas producc'!C11</f>
        <v>31.5</v>
      </c>
      <c r="D32" s="118">
        <f>'Alt_diám tablas producc'!D11</f>
        <v>23.6</v>
      </c>
      <c r="E32" s="19">
        <f>'Alt_diám tablas producc'!E11</f>
        <v>1.0273610884353743</v>
      </c>
      <c r="F32" s="42">
        <f>IF(C32&gt;32.5,1,0)</f>
        <v>0</v>
      </c>
      <c r="G32" s="43">
        <f>0.0403*POWER(C32,1.838)*POWER(D32,0.945)</f>
        <v>453.52547495493997</v>
      </c>
      <c r="H32" s="43"/>
      <c r="I32" s="43">
        <f>0.228*POWER((C32-32.5),2)*F32</f>
        <v>0</v>
      </c>
      <c r="J32" s="43">
        <f>0.0521*POWER(C32,2)</f>
        <v>51.696224999999998</v>
      </c>
      <c r="K32" s="43">
        <f>0.072*POWER(C32,2)</f>
        <v>71.441999999999993</v>
      </c>
      <c r="L32" s="43"/>
      <c r="M32" s="43"/>
      <c r="N32" s="43"/>
      <c r="O32" s="43">
        <f t="shared" si="0"/>
        <v>576.66369995493994</v>
      </c>
      <c r="P32" s="43">
        <f>0.0189*POWER(C32,2.445)</f>
        <v>87.062494872163896</v>
      </c>
      <c r="Q32" s="33">
        <f t="shared" si="1"/>
        <v>663.72619482710388</v>
      </c>
      <c r="R32" s="19">
        <f t="shared" si="7"/>
        <v>1.2168313571830238</v>
      </c>
      <c r="S32" s="121">
        <f t="shared" si="8"/>
        <v>-0.1844242213185282</v>
      </c>
    </row>
    <row r="33" spans="1:19" x14ac:dyDescent="0.25">
      <c r="A33" s="103" t="s">
        <v>107</v>
      </c>
      <c r="B33" s="117">
        <v>20</v>
      </c>
      <c r="C33" s="118">
        <f>'Alt_diám tablas producc'!C17</f>
        <v>13.799999999999999</v>
      </c>
      <c r="D33" s="118">
        <f>'Alt_diám tablas producc'!D17</f>
        <v>8</v>
      </c>
      <c r="E33" s="19">
        <f>'Alt_diám tablas producc'!E17</f>
        <v>5.2605758333333329E-2</v>
      </c>
      <c r="F33" s="42"/>
      <c r="G33" s="43">
        <f>0.0278*POWER(C33,2.115)*POWER(D33,0.618)</f>
        <v>25.882050224023033</v>
      </c>
      <c r="H33" s="43"/>
      <c r="I33" s="43">
        <f>0.000381*POWER(C33,3.141)</f>
        <v>1.4497235239975363</v>
      </c>
      <c r="J33" s="43"/>
      <c r="K33" s="43">
        <f>0.0129*POWER(C33,2.32)</f>
        <v>5.6899597039369612</v>
      </c>
      <c r="L33" s="43"/>
      <c r="M33" s="43"/>
      <c r="N33" s="43"/>
      <c r="O33" s="43">
        <f t="shared" si="0"/>
        <v>33.02173345195753</v>
      </c>
      <c r="P33" s="43">
        <f>0.00444*POWER(C33,2.804)</f>
        <v>6.9759591436466053</v>
      </c>
      <c r="Q33" s="33">
        <f t="shared" si="1"/>
        <v>39.997692595604136</v>
      </c>
      <c r="R33" s="19">
        <f t="shared" si="7"/>
        <v>7.332910309194092E-2</v>
      </c>
      <c r="S33" s="121">
        <f t="shared" si="8"/>
        <v>-0.39393681253096519</v>
      </c>
    </row>
    <row r="34" spans="1:19" x14ac:dyDescent="0.25">
      <c r="A34" s="103" t="s">
        <v>107</v>
      </c>
      <c r="B34" s="117">
        <v>25</v>
      </c>
      <c r="C34" s="118">
        <f>'Alt_diám tablas producc'!C18</f>
        <v>17.25</v>
      </c>
      <c r="D34" s="118">
        <f>'Alt_diám tablas producc'!D18</f>
        <v>10</v>
      </c>
      <c r="E34" s="19">
        <f>'Alt_diám tablas producc'!E18</f>
        <v>0.16128329479166664</v>
      </c>
      <c r="F34" s="42"/>
      <c r="G34" s="43">
        <f>0.0278*POWER(C34,2.115)*POWER(D34,0.618)</f>
        <v>47.62705645344267</v>
      </c>
      <c r="H34" s="43"/>
      <c r="I34" s="43">
        <f>0.000381*POWER(C34,3.141)</f>
        <v>2.9219954606658156</v>
      </c>
      <c r="J34" s="43"/>
      <c r="K34" s="43">
        <f>0.0129*POWER(C34,2.32)</f>
        <v>9.5486158350805557</v>
      </c>
      <c r="L34" s="43"/>
      <c r="M34" s="43"/>
      <c r="N34" s="43"/>
      <c r="O34" s="43">
        <f t="shared" si="0"/>
        <v>60.097667749189043</v>
      </c>
      <c r="P34" s="43">
        <f>0.00444*POWER(C34,2.804)</f>
        <v>13.041862131158249</v>
      </c>
      <c r="Q34" s="33">
        <f t="shared" si="1"/>
        <v>73.139529880347297</v>
      </c>
      <c r="R34" s="19">
        <f t="shared" si="7"/>
        <v>0.13408913811397005</v>
      </c>
      <c r="S34" s="121">
        <f t="shared" si="8"/>
        <v>0.16861111817453822</v>
      </c>
    </row>
    <row r="35" spans="1:19" x14ac:dyDescent="0.25">
      <c r="A35" s="103" t="s">
        <v>107</v>
      </c>
      <c r="B35" s="117">
        <v>30</v>
      </c>
      <c r="C35" s="118">
        <f>'Alt_diám tablas producc'!C19</f>
        <v>20.7</v>
      </c>
      <c r="D35" s="118">
        <f>'Alt_diám tablas producc'!D19</f>
        <v>12</v>
      </c>
      <c r="E35" s="19">
        <f>'Alt_diám tablas producc'!E19</f>
        <v>0.25679117535903251</v>
      </c>
      <c r="F35" s="42"/>
      <c r="G35" s="43">
        <f>0.0278*POWER(C35,2.115)*POWER(D35,0.618)</f>
        <v>78.389173707645256</v>
      </c>
      <c r="H35" s="43"/>
      <c r="I35" s="43">
        <f>0.000381*POWER(C35,3.141)</f>
        <v>5.180692681945505</v>
      </c>
      <c r="J35" s="43"/>
      <c r="K35" s="43">
        <f>0.0129*POWER(C35,2.32)</f>
        <v>14.576085656077154</v>
      </c>
      <c r="L35" s="43"/>
      <c r="M35" s="43"/>
      <c r="N35" s="43"/>
      <c r="O35" s="43">
        <f t="shared" ref="O35:O61" si="9">G35+H35+I35+J35+K35+L35+M35</f>
        <v>98.145952045667912</v>
      </c>
      <c r="P35" s="43">
        <f>0.00444*POWER(C35,2.804)</f>
        <v>21.745220647051354</v>
      </c>
      <c r="Q35" s="33">
        <f t="shared" ref="Q35:Q61" si="10">O35+P35</f>
        <v>119.89117269271927</v>
      </c>
      <c r="R35" s="19">
        <f t="shared" si="7"/>
        <v>0.2198004832699853</v>
      </c>
      <c r="S35" s="121">
        <f t="shared" si="8"/>
        <v>0.14404970123030389</v>
      </c>
    </row>
    <row r="36" spans="1:19" x14ac:dyDescent="0.25">
      <c r="A36" s="103" t="s">
        <v>107</v>
      </c>
      <c r="B36" s="117">
        <v>35</v>
      </c>
      <c r="C36" s="118">
        <f>'Alt_diám tablas producc'!C20</f>
        <v>24.15</v>
      </c>
      <c r="D36" s="118">
        <f>'Alt_diám tablas producc'!D20</f>
        <v>14</v>
      </c>
      <c r="E36" s="19">
        <f>'Alt_diám tablas producc'!E20</f>
        <v>0.44083236770833328</v>
      </c>
      <c r="F36" s="42"/>
      <c r="G36" s="43">
        <f>0.0278*POWER(C36,2.115)*POWER(D36,0.618)</f>
        <v>119.45976681681928</v>
      </c>
      <c r="H36" s="43"/>
      <c r="I36" s="43">
        <f>0.000381*POWER(C36,3.141)</f>
        <v>8.4075158937193653</v>
      </c>
      <c r="J36" s="43"/>
      <c r="K36" s="43">
        <f>0.0129*POWER(C36,2.32)</f>
        <v>20.842867308770867</v>
      </c>
      <c r="L36" s="43"/>
      <c r="M36" s="43"/>
      <c r="N36" s="43"/>
      <c r="O36" s="43">
        <f t="shared" si="9"/>
        <v>148.71015001930951</v>
      </c>
      <c r="P36" s="43">
        <f>0.00444*POWER(C36,2.804)</f>
        <v>33.502916651278468</v>
      </c>
      <c r="Q36" s="33">
        <f t="shared" si="10"/>
        <v>182.21306667058798</v>
      </c>
      <c r="R36" s="19">
        <f t="shared" si="7"/>
        <v>0.334057288896078</v>
      </c>
      <c r="S36" s="121">
        <f t="shared" si="8"/>
        <v>0.24221242956211553</v>
      </c>
    </row>
    <row r="37" spans="1:19" x14ac:dyDescent="0.25">
      <c r="A37" s="103" t="s">
        <v>107</v>
      </c>
      <c r="B37" s="117">
        <v>40</v>
      </c>
      <c r="C37" s="118">
        <f>'Alt_diám tablas producc'!C21</f>
        <v>26.1</v>
      </c>
      <c r="D37" s="118">
        <f>'Alt_diám tablas producc'!D21</f>
        <v>16</v>
      </c>
      <c r="E37" s="19">
        <f>'Alt_diám tablas producc'!E21</f>
        <v>0.51828333333333332</v>
      </c>
      <c r="F37" s="42"/>
      <c r="G37" s="43">
        <f>0.0278*POWER(C37,2.115)*POWER(D37,0.618)</f>
        <v>152.89230151501533</v>
      </c>
      <c r="H37" s="43"/>
      <c r="I37" s="43">
        <f>0.000381*POWER(C37,3.141)</f>
        <v>10.729829210083331</v>
      </c>
      <c r="J37" s="43"/>
      <c r="K37" s="43">
        <f>0.0129*POWER(C37,2.32)</f>
        <v>24.957190114617095</v>
      </c>
      <c r="L37" s="43"/>
      <c r="M37" s="43"/>
      <c r="N37" s="43"/>
      <c r="O37" s="43">
        <f t="shared" si="9"/>
        <v>188.57932083971576</v>
      </c>
      <c r="P37" s="43">
        <f>0.00444*POWER(C37,2.804)</f>
        <v>41.652680273178056</v>
      </c>
      <c r="Q37" s="33">
        <f t="shared" si="10"/>
        <v>230.23200111289381</v>
      </c>
      <c r="R37" s="19">
        <f t="shared" si="7"/>
        <v>0.42209200204030534</v>
      </c>
      <c r="S37" s="121">
        <f t="shared" si="8"/>
        <v>0.18559603426638194</v>
      </c>
    </row>
    <row r="38" spans="1:19" x14ac:dyDescent="0.25">
      <c r="A38" s="44" t="s">
        <v>163</v>
      </c>
      <c r="B38" s="112"/>
      <c r="C38" s="6"/>
      <c r="D38" s="6"/>
      <c r="E38" s="6"/>
      <c r="F38" s="42"/>
      <c r="G38" s="43">
        <f>0.3882+0.0115*POWER(C38,2)*D38</f>
        <v>0.38819999999999999</v>
      </c>
      <c r="H38" s="43" t="e">
        <f>0.0369*POWER(C38,2.0983)*POWER((3.1416*POWER(C38/2,2)),-0.0551)</f>
        <v>#DIV/0!</v>
      </c>
      <c r="I38" s="43">
        <f>3.2019-0.0148*POWER(C38,2)-0.4228*D38+0.0028*POWER(C38,2)*D38</f>
        <v>3.2019000000000002</v>
      </c>
      <c r="J38" s="43"/>
      <c r="K38" s="43" t="e">
        <f>0.0978*POWER(C38,2.2881)*POWER(D38,-0.9648)+0.0271*POWER(C38,2.5098)*POWER(D38,-0.6949)</f>
        <v>#DIV/0!</v>
      </c>
      <c r="L38" s="43"/>
      <c r="M38" s="43"/>
      <c r="N38" s="43"/>
      <c r="O38" s="43" t="e">
        <f t="shared" si="9"/>
        <v>#DIV/0!</v>
      </c>
      <c r="P38" s="43">
        <f>0.0019*POWER(C38,2.1537)</f>
        <v>0</v>
      </c>
      <c r="Q38" s="33" t="e">
        <f t="shared" si="10"/>
        <v>#DIV/0!</v>
      </c>
      <c r="R38" s="50" t="e">
        <f>#REF!*0.5*44/12</f>
        <v>#REF!</v>
      </c>
    </row>
    <row r="39" spans="1:19" x14ac:dyDescent="0.25">
      <c r="A39" s="44" t="s">
        <v>46</v>
      </c>
      <c r="B39" s="112"/>
      <c r="C39" s="6"/>
      <c r="D39" s="6"/>
      <c r="E39" s="6"/>
      <c r="F39" s="42">
        <f>IF(C39&gt;22.5,1,0)</f>
        <v>0</v>
      </c>
      <c r="G39" s="43">
        <f>0.0224*POWER(C39,1.923)*POWER(D39,1.0193)</f>
        <v>0</v>
      </c>
      <c r="H39" s="43"/>
      <c r="I39" s="43">
        <f>0.247*POWER((C39-22.5),2)*F39</f>
        <v>0</v>
      </c>
      <c r="J39" s="43">
        <f>0.0525*POWER(C39,2)</f>
        <v>0</v>
      </c>
      <c r="K39" s="43">
        <f>21.927+0.0707*POWER(C39,2)-2.827*D39</f>
        <v>21.927</v>
      </c>
      <c r="L39" s="43"/>
      <c r="M39" s="43"/>
      <c r="N39" s="43"/>
      <c r="O39" s="43">
        <f t="shared" si="9"/>
        <v>21.927</v>
      </c>
      <c r="P39" s="43">
        <f>0.117*POWER(C39,2)</f>
        <v>0</v>
      </c>
      <c r="Q39" s="33">
        <f t="shared" si="10"/>
        <v>21.927</v>
      </c>
      <c r="R39" s="50" t="e">
        <f>#REF!*0.5*44/12</f>
        <v>#REF!</v>
      </c>
    </row>
    <row r="40" spans="1:19" x14ac:dyDescent="0.25">
      <c r="A40" s="103" t="s">
        <v>47</v>
      </c>
      <c r="B40" s="117">
        <v>20</v>
      </c>
      <c r="C40" s="118">
        <f>'Alt_diám tablas producc'!C12</f>
        <v>29.8</v>
      </c>
      <c r="D40" s="118">
        <f>'Alt_diám tablas producc'!D12</f>
        <v>24.3</v>
      </c>
      <c r="E40" s="19">
        <f>'Alt_diám tablas producc'!E12</f>
        <v>0.70054311808118064</v>
      </c>
      <c r="F40" s="42"/>
      <c r="G40" s="43">
        <f>0.0123*POWER(C40,1.6042)*POWER(D40,1.4131)</f>
        <v>258.72778322006741</v>
      </c>
      <c r="H40" s="43">
        <f>0.0036*POWER(C40,2.6564)</f>
        <v>29.67635684643702</v>
      </c>
      <c r="I40" s="43">
        <f>1.937699+0.001065*POWER(C40,2)*D40</f>
        <v>24.919730179999998</v>
      </c>
      <c r="J40" s="43"/>
      <c r="K40" s="43">
        <f>0.0363*POWER(C40,2.6091)*POWER(D40,-0.9417)+0.0423*POWER(C40,1.7141)</f>
        <v>26.864549158670716</v>
      </c>
      <c r="L40" s="43"/>
      <c r="M40" s="43"/>
      <c r="N40" s="43"/>
      <c r="O40" s="43">
        <f t="shared" si="9"/>
        <v>340.18841940517518</v>
      </c>
      <c r="P40" s="43">
        <f>0.0078*POWER(C40,1.9606)</f>
        <v>6.0595867884487751</v>
      </c>
      <c r="Q40" s="33">
        <f t="shared" si="10"/>
        <v>346.24800619362395</v>
      </c>
      <c r="R40" s="19">
        <f t="shared" ref="R40:R49" si="11">(Q40*0.5*44/12)/1000</f>
        <v>0.6347880113549772</v>
      </c>
      <c r="S40" s="121">
        <f t="shared" ref="S40:S49" si="12">(E40-R40)/E40</f>
        <v>9.3863040017165042E-2</v>
      </c>
    </row>
    <row r="41" spans="1:19" x14ac:dyDescent="0.25">
      <c r="A41" s="103" t="s">
        <v>47</v>
      </c>
      <c r="B41" s="117">
        <v>25</v>
      </c>
      <c r="C41" s="118">
        <f>'Alt_diám tablas producc'!C13</f>
        <v>35.5</v>
      </c>
      <c r="D41" s="118">
        <f>'Alt_diám tablas producc'!D13</f>
        <v>28.2</v>
      </c>
      <c r="E41" s="19">
        <f>'Alt_diám tablas producc'!E13</f>
        <v>1.1394439598997494</v>
      </c>
      <c r="F41" s="42"/>
      <c r="G41" s="43">
        <f>0.0123*POWER(C41,1.6042)*POWER(D41,1.4131)</f>
        <v>422.7936445724248</v>
      </c>
      <c r="H41" s="43">
        <f>0.0036*POWER(C41,2.6564)</f>
        <v>47.242089475370882</v>
      </c>
      <c r="I41" s="43">
        <f>1.937699+0.001065*POWER(C41,2)*D41</f>
        <v>39.786787250000003</v>
      </c>
      <c r="J41" s="43"/>
      <c r="K41" s="43">
        <f>0.0363*POWER(C41,2.6091)*POWER(D41,-0.9417)+0.0423*POWER(C41,1.7141)</f>
        <v>36.546989549849158</v>
      </c>
      <c r="L41" s="43"/>
      <c r="M41" s="43"/>
      <c r="N41" s="43"/>
      <c r="O41" s="43">
        <f t="shared" si="9"/>
        <v>546.36951084764485</v>
      </c>
      <c r="P41" s="43">
        <f>0.0078*POWER(C41,1.9606)</f>
        <v>8.5402839736782283</v>
      </c>
      <c r="Q41" s="33">
        <f t="shared" si="10"/>
        <v>554.90979482132309</v>
      </c>
      <c r="R41" s="19">
        <f t="shared" si="11"/>
        <v>1.0173346238390923</v>
      </c>
      <c r="S41" s="121">
        <f t="shared" si="12"/>
        <v>0.1071657232457492</v>
      </c>
    </row>
    <row r="42" spans="1:19" x14ac:dyDescent="0.25">
      <c r="A42" s="103" t="s">
        <v>47</v>
      </c>
      <c r="B42" s="117">
        <v>30</v>
      </c>
      <c r="C42" s="118">
        <f>'Alt_diám tablas producc'!C14</f>
        <v>40.200000000000003</v>
      </c>
      <c r="D42" s="118">
        <f>'Alt_diám tablas producc'!D14</f>
        <v>31.2</v>
      </c>
      <c r="E42" s="19">
        <f>'Alt_diám tablas producc'!E14</f>
        <v>1.6093192675159234</v>
      </c>
      <c r="F42" s="42"/>
      <c r="G42" s="43">
        <f>0.0123*POWER(C42,1.6042)*POWER(D42,1.4131)</f>
        <v>595.38022053314432</v>
      </c>
      <c r="H42" s="43">
        <f>0.0036*POWER(C42,2.6564)</f>
        <v>65.73075007445982</v>
      </c>
      <c r="I42" s="43">
        <f>1.937699+0.001065*POWER(C42,2)*D42</f>
        <v>55.635476120000007</v>
      </c>
      <c r="J42" s="43"/>
      <c r="K42" s="43">
        <f>0.0363*POWER(C42,2.6091)*POWER(D42,-0.9417)+0.0423*POWER(C42,1.7141)</f>
        <v>45.575844021204773</v>
      </c>
      <c r="L42" s="43"/>
      <c r="M42" s="43"/>
      <c r="N42" s="43"/>
      <c r="O42" s="43">
        <f t="shared" si="9"/>
        <v>762.32229074880888</v>
      </c>
      <c r="P42" s="43">
        <f>0.0078*POWER(C42,1.9606)</f>
        <v>10.897834353564187</v>
      </c>
      <c r="Q42" s="33">
        <f t="shared" si="10"/>
        <v>773.22012510237312</v>
      </c>
      <c r="R42" s="19">
        <f t="shared" si="11"/>
        <v>1.4175702293543506</v>
      </c>
      <c r="S42" s="121">
        <f t="shared" si="12"/>
        <v>0.11914915954343129</v>
      </c>
    </row>
    <row r="43" spans="1:19" x14ac:dyDescent="0.25">
      <c r="A43" s="103" t="s">
        <v>47</v>
      </c>
      <c r="B43" s="117">
        <v>35</v>
      </c>
      <c r="C43" s="118">
        <f>'Alt_diám tablas producc'!C15</f>
        <v>44.6</v>
      </c>
      <c r="D43" s="118">
        <f>'Alt_diám tablas producc'!D15</f>
        <v>33.700000000000003</v>
      </c>
      <c r="E43" s="19">
        <f>'Alt_diám tablas producc'!E15</f>
        <v>2.1289793669250643</v>
      </c>
      <c r="F43" s="42"/>
      <c r="G43" s="43">
        <f>0.0123*POWER(C43,1.6042)*POWER(D43,1.4131)</f>
        <v>784.26332212556929</v>
      </c>
      <c r="H43" s="43">
        <f>0.0036*POWER(C43,2.6564)</f>
        <v>86.61550053790215</v>
      </c>
      <c r="I43" s="43">
        <f>1.937699+0.001065*POWER(C43,2)*D43</f>
        <v>73.329645980000009</v>
      </c>
      <c r="J43" s="43"/>
      <c r="K43" s="43">
        <f>0.0363*POWER(C43,2.6091)*POWER(D43,-0.9417)+0.0423*POWER(C43,1.7141)</f>
        <v>54.993412543547663</v>
      </c>
      <c r="L43" s="43"/>
      <c r="M43" s="43"/>
      <c r="N43" s="43"/>
      <c r="O43" s="43">
        <f t="shared" si="9"/>
        <v>999.20188118701913</v>
      </c>
      <c r="P43" s="43">
        <f>0.0078*POWER(C43,1.9606)</f>
        <v>13.359202306382379</v>
      </c>
      <c r="Q43" s="33">
        <f t="shared" si="10"/>
        <v>1012.5610834934015</v>
      </c>
      <c r="R43" s="19">
        <f t="shared" si="11"/>
        <v>1.8563619864045695</v>
      </c>
      <c r="S43" s="121">
        <f t="shared" si="12"/>
        <v>0.12805073865710712</v>
      </c>
    </row>
    <row r="44" spans="1:19" x14ac:dyDescent="0.25">
      <c r="A44" s="103" t="s">
        <v>47</v>
      </c>
      <c r="B44" s="117">
        <v>40</v>
      </c>
      <c r="C44" s="118">
        <f>'Alt_diám tablas producc'!C16</f>
        <v>50.971428571428568</v>
      </c>
      <c r="D44" s="118">
        <f>'Alt_diám tablas producc'!D16</f>
        <v>38.51428571428572</v>
      </c>
      <c r="E44" s="19">
        <f>'Alt_diám tablas producc'!E16</f>
        <v>2.6825308766666667</v>
      </c>
      <c r="F44" s="42"/>
      <c r="G44" s="43">
        <f>0.0123*POWER(C44,1.6042)*POWER(D44,1.4131)</f>
        <v>1173.3862812635628</v>
      </c>
      <c r="H44" s="43">
        <f>0.0036*POWER(C44,2.6564)</f>
        <v>123.49387762646445</v>
      </c>
      <c r="I44" s="43">
        <f>1.937699+0.001065*POWER(C44,2)*D44</f>
        <v>108.50527000221574</v>
      </c>
      <c r="J44" s="43"/>
      <c r="K44" s="43">
        <f>0.0363*POWER(C44,2.6091)*POWER(D44,-0.9417)+0.0423*POWER(C44,1.7141)</f>
        <v>68.929895499010343</v>
      </c>
      <c r="L44" s="43"/>
      <c r="M44" s="43"/>
      <c r="N44" s="43"/>
      <c r="O44" s="43">
        <f t="shared" si="9"/>
        <v>1474.3153243912532</v>
      </c>
      <c r="P44" s="43">
        <f>0.0078*POWER(C44,1.9606)</f>
        <v>17.357194813643702</v>
      </c>
      <c r="Q44" s="33">
        <f t="shared" si="10"/>
        <v>1491.6725192048968</v>
      </c>
      <c r="R44" s="19">
        <f t="shared" si="11"/>
        <v>2.7347329518756447</v>
      </c>
      <c r="S44" s="121">
        <f t="shared" si="12"/>
        <v>-1.9460009076892607E-2</v>
      </c>
    </row>
    <row r="45" spans="1:19" x14ac:dyDescent="0.25">
      <c r="A45" s="103" t="s">
        <v>48</v>
      </c>
      <c r="B45" s="117">
        <v>20</v>
      </c>
      <c r="C45" s="118">
        <f>'Alt_diám tablas producc'!C22</f>
        <v>10.199999999999999</v>
      </c>
      <c r="D45" s="118">
        <f>'Alt_diám tablas producc'!D22</f>
        <v>8.8000000000000007</v>
      </c>
      <c r="E45" s="19">
        <f>'Alt_diám tablas producc'!E22</f>
        <v>4.3579036770583529E-2</v>
      </c>
      <c r="F45" s="42">
        <f>IF(C45&gt;37.5,1,0)</f>
        <v>0</v>
      </c>
      <c r="G45" s="43">
        <f>0.0154*POWER(C45,2)*D45</f>
        <v>14.0995008</v>
      </c>
      <c r="H45" s="43"/>
      <c r="I45" s="43">
        <f>(0.54*POWER((C45-37.5),2)-0.0119*POWER((C45-37.5),2)*D45)*F45</f>
        <v>0</v>
      </c>
      <c r="J45" s="43">
        <f>0.0295*POWER(C45,2.742)*POWER(D45,-0.899)</f>
        <v>2.4339618381482526</v>
      </c>
      <c r="K45" s="43">
        <f>0.53*POWER(C45,2.199)*POWER(D45,-1.153)</f>
        <v>7.1317995195170667</v>
      </c>
      <c r="L45" s="43"/>
      <c r="M45" s="43"/>
      <c r="N45" s="43"/>
      <c r="O45" s="43">
        <f t="shared" si="9"/>
        <v>23.665262157665317</v>
      </c>
      <c r="P45" s="43">
        <f>0.13*POWER(C45,2)</f>
        <v>13.5252</v>
      </c>
      <c r="Q45" s="33">
        <f t="shared" si="10"/>
        <v>37.190462157665316</v>
      </c>
      <c r="R45" s="19">
        <f t="shared" si="11"/>
        <v>6.818251395571974E-2</v>
      </c>
      <c r="S45" s="121">
        <f t="shared" si="12"/>
        <v>-0.56457138588579148</v>
      </c>
    </row>
    <row r="46" spans="1:19" x14ac:dyDescent="0.25">
      <c r="A46" s="103" t="s">
        <v>48</v>
      </c>
      <c r="B46" s="117">
        <v>25</v>
      </c>
      <c r="C46" s="118">
        <f>'Alt_diám tablas producc'!C23</f>
        <v>12.6</v>
      </c>
      <c r="D46" s="118">
        <f>'Alt_diám tablas producc'!D23</f>
        <v>12.4</v>
      </c>
      <c r="E46" s="19">
        <f>'Alt_diám tablas producc'!E23</f>
        <v>7.6699104716227012E-2</v>
      </c>
      <c r="F46" s="42">
        <f>IF(C46&gt;37.5,1,0)</f>
        <v>0</v>
      </c>
      <c r="G46" s="43">
        <f>0.0154*POWER(C46,2)*D46</f>
        <v>30.316809599999999</v>
      </c>
      <c r="H46" s="43"/>
      <c r="I46" s="43">
        <f>(0.54*POWER((C46-37.5),2)-0.0119*POWER((C46-37.5),2)*D46)*F46</f>
        <v>0</v>
      </c>
      <c r="J46" s="43">
        <f>0.0295*POWER(C46,2.742)*POWER(D46,-0.899)</f>
        <v>3.1919196895563884</v>
      </c>
      <c r="K46" s="43">
        <f>0.53*POWER(C46,2.199)*POWER(D46,-1.153)</f>
        <v>7.6432047761025776</v>
      </c>
      <c r="L46" s="43"/>
      <c r="M46" s="43"/>
      <c r="N46" s="43"/>
      <c r="O46" s="43">
        <f t="shared" si="9"/>
        <v>41.151934065658963</v>
      </c>
      <c r="P46" s="43">
        <f>0.13*POWER(C46,2)</f>
        <v>20.6388</v>
      </c>
      <c r="Q46" s="33">
        <f t="shared" si="10"/>
        <v>61.790734065658967</v>
      </c>
      <c r="R46" s="19">
        <f t="shared" si="11"/>
        <v>0.11328301245370812</v>
      </c>
      <c r="S46" s="121">
        <f t="shared" si="12"/>
        <v>-0.4769795928236063</v>
      </c>
    </row>
    <row r="47" spans="1:19" x14ac:dyDescent="0.25">
      <c r="A47" s="103" t="s">
        <v>48</v>
      </c>
      <c r="B47" s="117">
        <v>30</v>
      </c>
      <c r="C47" s="118">
        <f>'Alt_diám tablas producc'!C24</f>
        <v>17.899999999999999</v>
      </c>
      <c r="D47" s="118">
        <f>'Alt_diám tablas producc'!D24</f>
        <v>15.5</v>
      </c>
      <c r="E47" s="19">
        <f>'Alt_diám tablas producc'!E24</f>
        <v>0.24264071126760559</v>
      </c>
      <c r="F47" s="42">
        <f>IF(C47&gt;37.5,1,0)</f>
        <v>0</v>
      </c>
      <c r="G47" s="43">
        <f>0.0154*POWER(C47,2)*D47</f>
        <v>76.481866999999994</v>
      </c>
      <c r="H47" s="43"/>
      <c r="I47" s="43">
        <f>(0.54*POWER((C47-37.5),2)-0.0119*POWER((C47-37.5),2)*D47)*F47</f>
        <v>0</v>
      </c>
      <c r="J47" s="43">
        <f>0.0295*POWER(C47,2.742)*POWER(D47,-0.899)</f>
        <v>6.8396964875214232</v>
      </c>
      <c r="K47" s="43">
        <f>0.53*POWER(C47,2.199)*POWER(D47,-1.153)</f>
        <v>12.789313603898737</v>
      </c>
      <c r="L47" s="43"/>
      <c r="M47" s="43"/>
      <c r="N47" s="43"/>
      <c r="O47" s="43">
        <f t="shared" si="9"/>
        <v>96.11087709142015</v>
      </c>
      <c r="P47" s="43">
        <f>0.13*POWER(C47,2)</f>
        <v>41.653299999999994</v>
      </c>
      <c r="Q47" s="33">
        <f t="shared" si="10"/>
        <v>137.76417709142015</v>
      </c>
      <c r="R47" s="19">
        <f t="shared" si="11"/>
        <v>0.25256765800093695</v>
      </c>
      <c r="S47" s="121">
        <f t="shared" si="12"/>
        <v>-4.0912123449815672E-2</v>
      </c>
    </row>
    <row r="48" spans="1:19" x14ac:dyDescent="0.25">
      <c r="A48" s="103" t="s">
        <v>48</v>
      </c>
      <c r="B48" s="117">
        <v>35</v>
      </c>
      <c r="C48" s="118">
        <f>'Alt_diám tablas producc'!C25</f>
        <v>22.3</v>
      </c>
      <c r="D48" s="118">
        <f>'Alt_diám tablas producc'!D25</f>
        <v>18.100000000000001</v>
      </c>
      <c r="E48" s="19">
        <f>'Alt_diám tablas producc'!E25</f>
        <v>0.46189196952380951</v>
      </c>
      <c r="F48" s="42">
        <f>IF(C48&gt;37.5,1,0)</f>
        <v>0</v>
      </c>
      <c r="G48" s="43">
        <f>0.0154*POWER(C48,2)*D48</f>
        <v>138.61461460000001</v>
      </c>
      <c r="H48" s="43"/>
      <c r="I48" s="43">
        <f>(0.54*POWER((C48-37.5),2)-0.0119*POWER((C48-37.5),2)*D48)*F48</f>
        <v>0</v>
      </c>
      <c r="J48" s="43">
        <f>0.0295*POWER(C48,2.742)*POWER(D48,-0.899)</f>
        <v>10.869783940006917</v>
      </c>
      <c r="K48" s="43">
        <f>0.53*POWER(C48,2.199)*POWER(D48,-1.153)</f>
        <v>17.341827686037337</v>
      </c>
      <c r="L48" s="43"/>
      <c r="M48" s="43"/>
      <c r="N48" s="43"/>
      <c r="O48" s="43">
        <f t="shared" si="9"/>
        <v>166.82622622604427</v>
      </c>
      <c r="P48" s="43">
        <f>0.13*POWER(C48,2)</f>
        <v>64.6477</v>
      </c>
      <c r="Q48" s="33">
        <f t="shared" si="10"/>
        <v>231.47392622604428</v>
      </c>
      <c r="R48" s="19">
        <f t="shared" si="11"/>
        <v>0.42436886474774788</v>
      </c>
      <c r="S48" s="121">
        <f t="shared" si="12"/>
        <v>8.1237837528862683E-2</v>
      </c>
    </row>
    <row r="49" spans="1:19" x14ac:dyDescent="0.25">
      <c r="A49" s="103" t="s">
        <v>48</v>
      </c>
      <c r="B49" s="117">
        <v>40</v>
      </c>
      <c r="C49" s="118">
        <f>'Alt_diám tablas producc'!C26</f>
        <v>26.1</v>
      </c>
      <c r="D49" s="118">
        <f>'Alt_diám tablas producc'!D26</f>
        <v>20.399999999999999</v>
      </c>
      <c r="E49" s="19">
        <f>'Alt_diám tablas producc'!E26</f>
        <v>0.70229562051282046</v>
      </c>
      <c r="F49" s="42">
        <f>IF(C49&gt;37.5,1,0)</f>
        <v>0</v>
      </c>
      <c r="G49" s="43">
        <f>0.0154*POWER(C49,2)*D49</f>
        <v>214.00893359999998</v>
      </c>
      <c r="H49" s="43"/>
      <c r="I49" s="43">
        <f>(0.54*POWER((C49-37.5),2)-0.0119*POWER((C49-37.5),2)*D49)*F49</f>
        <v>0</v>
      </c>
      <c r="J49" s="43">
        <f>0.0295*POWER(C49,2.742)*POWER(D49,-0.899)</f>
        <v>15.027708650130664</v>
      </c>
      <c r="K49" s="43">
        <f>0.53*POWER(C49,2.199)*POWER(D49,-1.153)</f>
        <v>21.353288226163549</v>
      </c>
      <c r="L49" s="43"/>
      <c r="M49" s="43"/>
      <c r="N49" s="43"/>
      <c r="O49" s="43">
        <f t="shared" si="9"/>
        <v>250.38993047629421</v>
      </c>
      <c r="P49" s="43">
        <f>0.13*POWER(C49,2)</f>
        <v>88.557300000000012</v>
      </c>
      <c r="Q49" s="33">
        <f t="shared" si="10"/>
        <v>338.94723047629424</v>
      </c>
      <c r="R49" s="19">
        <f t="shared" si="11"/>
        <v>0.62140325587320611</v>
      </c>
      <c r="S49" s="121">
        <f t="shared" si="12"/>
        <v>0.11518278382619881</v>
      </c>
    </row>
    <row r="50" spans="1:19" x14ac:dyDescent="0.25">
      <c r="A50" s="44" t="s">
        <v>49</v>
      </c>
      <c r="B50" s="112"/>
      <c r="C50" s="6"/>
      <c r="D50" s="6"/>
      <c r="E50" s="6"/>
      <c r="F50" s="42"/>
      <c r="G50" s="43">
        <f>0.0203*POWER(C50,2)*D50</f>
        <v>0</v>
      </c>
      <c r="H50" s="43"/>
      <c r="I50" s="43">
        <f>0.0379*POWER(C50,2)</f>
        <v>0</v>
      </c>
      <c r="J50" s="43"/>
      <c r="K50" s="43">
        <f>2.74*C50-2.64*D50</f>
        <v>0</v>
      </c>
      <c r="L50" s="43"/>
      <c r="M50" s="43"/>
      <c r="N50" s="43"/>
      <c r="O50" s="43">
        <f t="shared" si="9"/>
        <v>0</v>
      </c>
      <c r="P50" s="43">
        <f>0.193*POWER(C50,2)</f>
        <v>0</v>
      </c>
      <c r="Q50" s="33">
        <f t="shared" si="10"/>
        <v>0</v>
      </c>
      <c r="R50" s="50" t="e">
        <f>#REF!*0.5*44/12</f>
        <v>#REF!</v>
      </c>
    </row>
    <row r="51" spans="1:19" x14ac:dyDescent="0.25">
      <c r="A51" s="44" t="s">
        <v>164</v>
      </c>
      <c r="B51" s="112"/>
      <c r="C51" s="6"/>
      <c r="D51" s="6"/>
      <c r="E51" s="6"/>
      <c r="F51" s="42">
        <f>IF(C51&gt;22.5,1,0)</f>
        <v>0</v>
      </c>
      <c r="G51" s="43">
        <f>0.013*POWER(C51,2)*D51</f>
        <v>0</v>
      </c>
      <c r="H51" s="43"/>
      <c r="I51" s="43">
        <f>(0.538*POWER((C51-22.5),2)-0.013*POWER((C51-22.5),2)*D51)*F51</f>
        <v>0</v>
      </c>
      <c r="J51" s="43">
        <f>0.0385*POWER(C51,2)</f>
        <v>0</v>
      </c>
      <c r="K51" s="43">
        <f>0.0774*POWER(C51,2)-0.00198*POWER(C51,2)*D51</f>
        <v>0</v>
      </c>
      <c r="L51" s="43"/>
      <c r="M51" s="43"/>
      <c r="N51" s="43"/>
      <c r="O51" s="43">
        <f t="shared" si="9"/>
        <v>0</v>
      </c>
      <c r="P51" s="43">
        <f>0.122*POWER(C51,2)</f>
        <v>0</v>
      </c>
      <c r="Q51" s="33">
        <f t="shared" si="10"/>
        <v>0</v>
      </c>
      <c r="R51" s="50" t="e">
        <f>#REF!*0.5*44/12</f>
        <v>#REF!</v>
      </c>
    </row>
    <row r="52" spans="1:19" x14ac:dyDescent="0.25">
      <c r="A52" s="44" t="s">
        <v>165</v>
      </c>
      <c r="B52" s="112"/>
      <c r="C52" s="6"/>
      <c r="D52" s="6"/>
      <c r="E52" s="6"/>
      <c r="F52" s="42"/>
      <c r="G52" s="43">
        <f>0.0126*POWER(C52,2)*D52</f>
        <v>0</v>
      </c>
      <c r="H52" s="43"/>
      <c r="I52" s="43">
        <f>0.103*POWER(C52,2)</f>
        <v>0</v>
      </c>
      <c r="J52" s="43">
        <f>0.167*C52*D52</f>
        <v>0</v>
      </c>
      <c r="K52" s="43"/>
      <c r="L52" s="43"/>
      <c r="M52" s="43"/>
      <c r="N52" s="43"/>
      <c r="O52" s="43">
        <f t="shared" si="9"/>
        <v>0</v>
      </c>
      <c r="P52" s="43">
        <f>0.135*POWER(C52,2)</f>
        <v>0</v>
      </c>
      <c r="Q52" s="33">
        <f t="shared" si="10"/>
        <v>0</v>
      </c>
      <c r="R52" s="50" t="e">
        <f>#REF!*0.5*44/12</f>
        <v>#REF!</v>
      </c>
    </row>
    <row r="53" spans="1:19" x14ac:dyDescent="0.25">
      <c r="A53" s="44" t="s">
        <v>57</v>
      </c>
      <c r="B53" s="112"/>
      <c r="C53" s="6"/>
      <c r="D53" s="6"/>
      <c r="E53" s="6"/>
      <c r="F53" s="42"/>
      <c r="G53" s="43">
        <f>0.154*POWER(C53,2)</f>
        <v>0</v>
      </c>
      <c r="H53" s="43"/>
      <c r="I53" s="43">
        <f>0.0861*POWER(C53,2)</f>
        <v>0</v>
      </c>
      <c r="J53" s="43">
        <f>0.127*POWER(C53,2)-0.00598*POWER(C53,2)*D53</f>
        <v>0</v>
      </c>
      <c r="K53" s="43">
        <f>0.0726*POWER(C53,2)-0.00275*POWER(C53,2)*D53</f>
        <v>0</v>
      </c>
      <c r="L53" s="43"/>
      <c r="M53" s="43"/>
      <c r="N53" s="43"/>
      <c r="O53" s="43">
        <f t="shared" si="9"/>
        <v>0</v>
      </c>
      <c r="P53" s="43">
        <f>0.169*POWER(C53,2)</f>
        <v>0</v>
      </c>
      <c r="Q53" s="33">
        <f t="shared" si="10"/>
        <v>0</v>
      </c>
      <c r="R53" s="50" t="e">
        <f>#REF!*0.5*44/12</f>
        <v>#REF!</v>
      </c>
    </row>
    <row r="54" spans="1:19" x14ac:dyDescent="0.25">
      <c r="A54" s="44" t="s">
        <v>58</v>
      </c>
      <c r="B54" s="112"/>
      <c r="C54" s="6"/>
      <c r="D54" s="6"/>
      <c r="E54" s="6"/>
      <c r="F54" s="42">
        <f>IF(C54&gt;12.5,1,0)</f>
        <v>0</v>
      </c>
      <c r="G54" s="43">
        <f>0.143*POWER(C54,2)</f>
        <v>0</v>
      </c>
      <c r="H54" s="43"/>
      <c r="I54" s="43">
        <f>(0.0684*POWER((C54-12.5),2)*D54)*F54</f>
        <v>0</v>
      </c>
      <c r="J54" s="43">
        <f>0.0898*POWER(C54,2)</f>
        <v>0</v>
      </c>
      <c r="K54" s="43">
        <f>0.0823*POWER(C54,2)</f>
        <v>0</v>
      </c>
      <c r="L54" s="43"/>
      <c r="M54" s="43"/>
      <c r="N54" s="43"/>
      <c r="O54" s="43">
        <f t="shared" si="9"/>
        <v>0</v>
      </c>
      <c r="P54" s="43">
        <f>0.254*POWER(C54,2)</f>
        <v>0</v>
      </c>
      <c r="Q54" s="33">
        <f t="shared" si="10"/>
        <v>0</v>
      </c>
      <c r="R54" s="50" t="e">
        <f>#REF!*0.5*44/12</f>
        <v>#REF!</v>
      </c>
    </row>
    <row r="55" spans="1:19" x14ac:dyDescent="0.25">
      <c r="A55" s="44" t="s">
        <v>61</v>
      </c>
      <c r="B55" s="112"/>
      <c r="C55" s="6"/>
      <c r="D55" s="6"/>
      <c r="E55" s="6"/>
      <c r="F55" s="42"/>
      <c r="G55" s="43">
        <f>0.0261*POWER(C55,2)*D55</f>
        <v>0</v>
      </c>
      <c r="H55" s="43"/>
      <c r="I55" s="43"/>
      <c r="J55" s="43">
        <f>-0.026*POWER(C55,2)+0.536*D55+0.00538*POWER(C55,2)*D55</f>
        <v>0</v>
      </c>
      <c r="K55" s="43">
        <f>0.898*C55-0.445*D55</f>
        <v>0</v>
      </c>
      <c r="L55" s="43"/>
      <c r="M55" s="43"/>
      <c r="N55" s="43"/>
      <c r="O55" s="43">
        <f t="shared" si="9"/>
        <v>0</v>
      </c>
      <c r="P55" s="43">
        <f>0.143*POWER(C55,2)</f>
        <v>0</v>
      </c>
      <c r="Q55" s="33">
        <f t="shared" si="10"/>
        <v>0</v>
      </c>
      <c r="R55" s="50" t="e">
        <f>#REF!*0.5*44/12</f>
        <v>#REF!</v>
      </c>
    </row>
    <row r="56" spans="1:19" x14ac:dyDescent="0.25">
      <c r="A56" s="103" t="s">
        <v>62</v>
      </c>
      <c r="B56" s="117">
        <v>20</v>
      </c>
      <c r="C56" s="118">
        <f>'Alt_diám tablas producc'!C44</f>
        <v>7</v>
      </c>
      <c r="D56" s="118">
        <f>'Alt_diám tablas producc'!D44</f>
        <v>10.199999999999999</v>
      </c>
      <c r="E56" s="19">
        <f>'Alt_diám tablas producc'!E44</f>
        <v>2.4741729460580914E-2</v>
      </c>
      <c r="F56" s="42"/>
      <c r="G56" s="43">
        <f>-5.714+0.018*POWER(C56,2)*D56</f>
        <v>3.2823999999999973</v>
      </c>
      <c r="H56" s="43">
        <f>-1.5+0.032*POWER(C56,2)+0.001*POWER(C56,2)*D56</f>
        <v>0.56780000000000008</v>
      </c>
      <c r="I56" s="43">
        <f>0.000000003427*POWER((C56*C56*D56),2.31)</f>
        <v>5.8766989866151096E-3</v>
      </c>
      <c r="J56" s="43">
        <f>4.268+0.003*POWER(C56,2)*D56</f>
        <v>5.7673999999999994</v>
      </c>
      <c r="K56" s="43">
        <f>0.039*POWER(C56,1.784)</f>
        <v>1.2552190172091917</v>
      </c>
      <c r="L56" s="43">
        <f>0.02*POWER((C56*C56*D56),0.737)</f>
        <v>1.9500369168868172</v>
      </c>
      <c r="M56" s="43"/>
      <c r="N56" s="43"/>
      <c r="O56" s="43">
        <f t="shared" si="9"/>
        <v>12.828732633082621</v>
      </c>
      <c r="P56" s="43">
        <f>0.0851*POWER(C56,2.151)</f>
        <v>5.5941672207829445</v>
      </c>
      <c r="Q56" s="33">
        <f t="shared" si="10"/>
        <v>18.422899853865566</v>
      </c>
      <c r="R56" s="19">
        <f>(Q56*0.5*44/12)/1000</f>
        <v>3.3775316398753537E-2</v>
      </c>
      <c r="S56" s="121">
        <f>(E56-R56)/E56</f>
        <v>-0.3651154197836145</v>
      </c>
    </row>
    <row r="57" spans="1:19" x14ac:dyDescent="0.25">
      <c r="A57" s="103" t="s">
        <v>62</v>
      </c>
      <c r="B57" s="117">
        <v>25</v>
      </c>
      <c r="C57" s="118">
        <f>'Alt_diám tablas producc'!C45</f>
        <v>8.5</v>
      </c>
      <c r="D57" s="118">
        <f>'Alt_diám tablas producc'!D45</f>
        <v>12.5</v>
      </c>
      <c r="E57" s="19">
        <f>'Alt_diám tablas producc'!E45</f>
        <v>4.2108132132132131E-2</v>
      </c>
      <c r="F57" s="42"/>
      <c r="G57" s="43">
        <f>-5.714+0.018*POWER(C57,2)*D57</f>
        <v>10.542250000000001</v>
      </c>
      <c r="H57" s="43">
        <f>-1.5+0.032*POWER(C57,2)+0.001*POWER(C57,2)*D57</f>
        <v>1.7151249999999998</v>
      </c>
      <c r="I57" s="43">
        <f>0.000000003427*POWER((C57*C57*D57),2.31)</f>
        <v>2.3051100875626555E-2</v>
      </c>
      <c r="J57" s="43">
        <f>4.268+0.003*POWER(C57,2)*D57</f>
        <v>6.9773750000000003</v>
      </c>
      <c r="K57" s="43">
        <f>0.039*POWER(C57,1.784)</f>
        <v>1.7747940762638998</v>
      </c>
      <c r="L57" s="43">
        <f>0.02*POWER((C57*C57*D57),0.737)</f>
        <v>3.0158946839477068</v>
      </c>
      <c r="M57" s="43"/>
      <c r="N57" s="43"/>
      <c r="O57" s="43">
        <f t="shared" si="9"/>
        <v>24.048489861087234</v>
      </c>
      <c r="P57" s="43">
        <f>0.0851*POWER(C57,2.151)</f>
        <v>8.4939493961824297</v>
      </c>
      <c r="Q57" s="33">
        <f t="shared" si="10"/>
        <v>32.542439257269663</v>
      </c>
      <c r="R57" s="19">
        <f>(Q57*0.5*44/12)/1000</f>
        <v>5.9661138638327713E-2</v>
      </c>
      <c r="S57" s="121">
        <f>(E57-R57)/E57</f>
        <v>-0.41685550076445033</v>
      </c>
    </row>
    <row r="58" spans="1:19" x14ac:dyDescent="0.25">
      <c r="A58" s="103" t="s">
        <v>62</v>
      </c>
      <c r="B58" s="117">
        <v>30</v>
      </c>
      <c r="C58" s="118">
        <f>'Alt_diám tablas producc'!C46</f>
        <v>11.2</v>
      </c>
      <c r="D58" s="118">
        <f>'Alt_diám tablas producc'!D46</f>
        <v>14.6</v>
      </c>
      <c r="E58" s="19">
        <f>'Alt_diám tablas producc'!E46</f>
        <v>9.8011439904799699E-2</v>
      </c>
      <c r="F58" s="42"/>
      <c r="G58" s="43">
        <f>-5.714+0.018*POWER(C58,2)*D58</f>
        <v>27.251631999999994</v>
      </c>
      <c r="H58" s="43">
        <f>-1.5+0.032*POWER(C58,2)+0.001*POWER(C58,2)*D58</f>
        <v>4.345504</v>
      </c>
      <c r="I58" s="43">
        <f>0.000000003427*POWER((C58*C58*D58),2.31)</f>
        <v>0.11802023254448073</v>
      </c>
      <c r="J58" s="43">
        <f>4.268+0.003*POWER(C58,2)*D58</f>
        <v>9.7622719999999994</v>
      </c>
      <c r="K58" s="43">
        <f>0.039*POWER(C58,1.784)</f>
        <v>2.903150561014844</v>
      </c>
      <c r="L58" s="43">
        <f>0.02*POWER((C58*C58*D58),0.737)</f>
        <v>5.0781487224146167</v>
      </c>
      <c r="M58" s="43"/>
      <c r="N58" s="43"/>
      <c r="O58" s="43">
        <f t="shared" si="9"/>
        <v>49.458727515973933</v>
      </c>
      <c r="P58" s="43">
        <f>0.0851*POWER(C58,2.151)</f>
        <v>15.374377018085481</v>
      </c>
      <c r="Q58" s="33">
        <f t="shared" si="10"/>
        <v>64.833104534059416</v>
      </c>
      <c r="R58" s="19">
        <f>(Q58*0.5*44/12)/1000</f>
        <v>0.1188606916457756</v>
      </c>
      <c r="S58" s="121">
        <f>(E58-R58)/E58</f>
        <v>-0.21272263483963877</v>
      </c>
    </row>
    <row r="59" spans="1:19" x14ac:dyDescent="0.25">
      <c r="A59" s="103" t="s">
        <v>62</v>
      </c>
      <c r="B59" s="117">
        <v>35</v>
      </c>
      <c r="C59" s="118">
        <f>'Alt_diám tablas producc'!C47</f>
        <v>14.3</v>
      </c>
      <c r="D59" s="118">
        <f>'Alt_diám tablas producc'!D47</f>
        <v>16.600000000000001</v>
      </c>
      <c r="E59" s="19">
        <f>'Alt_diám tablas producc'!E47</f>
        <v>0.2209103448275862</v>
      </c>
      <c r="F59" s="42"/>
      <c r="G59" s="43">
        <f>-5.714+0.018*POWER(C59,2)*D59</f>
        <v>55.387612000000004</v>
      </c>
      <c r="H59" s="43">
        <f>-1.5+0.032*POWER(C59,2)+0.001*POWER(C59,2)*D59</f>
        <v>8.4382140000000003</v>
      </c>
      <c r="I59" s="43">
        <f>0.000000003427*POWER((C59*C59*D59),2.31)</f>
        <v>0.49092627971921143</v>
      </c>
      <c r="J59" s="43">
        <f>4.268+0.003*POWER(C59,2)*D59</f>
        <v>14.451602000000001</v>
      </c>
      <c r="K59" s="43">
        <f>0.039*POWER(C59,1.784)</f>
        <v>4.4893565387532153</v>
      </c>
      <c r="L59" s="43">
        <f>0.02*POWER((C59*C59*D59),0.737)</f>
        <v>8.0023027097734047</v>
      </c>
      <c r="M59" s="43"/>
      <c r="N59" s="43"/>
      <c r="O59" s="43">
        <f t="shared" si="9"/>
        <v>91.26001352824585</v>
      </c>
      <c r="P59" s="43">
        <f>0.0851*POWER(C59,2.151)</f>
        <v>26.005031050795303</v>
      </c>
      <c r="Q59" s="33">
        <f t="shared" si="10"/>
        <v>117.26504457904116</v>
      </c>
      <c r="R59" s="19">
        <f>(Q59*0.5*44/12)/1000</f>
        <v>0.21498591506157547</v>
      </c>
      <c r="S59" s="121">
        <f>(E59-R59)/E59</f>
        <v>2.6818254123113033E-2</v>
      </c>
    </row>
    <row r="60" spans="1:19" x14ac:dyDescent="0.25">
      <c r="A60" s="103" t="s">
        <v>62</v>
      </c>
      <c r="B60" s="117">
        <v>40</v>
      </c>
      <c r="C60" s="118">
        <f>'Alt_diám tablas producc'!C48</f>
        <v>17.5</v>
      </c>
      <c r="D60" s="118">
        <f>'Alt_diám tablas producc'!D48</f>
        <v>18.3</v>
      </c>
      <c r="E60" s="19">
        <f>'Alt_diám tablas producc'!E48</f>
        <v>0.4726752487309645</v>
      </c>
      <c r="F60" s="42"/>
      <c r="G60" s="43">
        <f>-5.714+0.018*POWER(C60,2)*D60</f>
        <v>95.164749999999998</v>
      </c>
      <c r="H60" s="43">
        <f>-1.5+0.032*POWER(C60,2)+0.001*POWER(C60,2)*D60</f>
        <v>13.904375000000002</v>
      </c>
      <c r="I60" s="43">
        <f>0.000000003427*POWER((C60*C60*D60),2.31)</f>
        <v>1.5631904985573402</v>
      </c>
      <c r="J60" s="43">
        <f>4.268+0.003*POWER(C60,2)*D60</f>
        <v>21.081125000000004</v>
      </c>
      <c r="K60" s="43">
        <f>0.039*POWER(C60,1.784)</f>
        <v>6.4364216335672948</v>
      </c>
      <c r="L60" s="43">
        <f>0.02*POWER((C60*C60*D60),0.737)</f>
        <v>11.579625995484184</v>
      </c>
      <c r="M60" s="43"/>
      <c r="N60" s="43"/>
      <c r="O60" s="43">
        <f t="shared" si="9"/>
        <v>149.72948812760885</v>
      </c>
      <c r="P60" s="43">
        <f>0.0851*POWER(C60,2.151)</f>
        <v>40.151742992843147</v>
      </c>
      <c r="Q60" s="33">
        <f t="shared" si="10"/>
        <v>189.88123112045199</v>
      </c>
      <c r="R60" s="19">
        <f>(Q60*0.5*44/12)/1000</f>
        <v>0.34811559038749534</v>
      </c>
      <c r="S60" s="121">
        <f>(E60-R60)/E60</f>
        <v>0.26352058559843389</v>
      </c>
    </row>
    <row r="61" spans="1:19" x14ac:dyDescent="0.25">
      <c r="A61" s="44" t="s">
        <v>104</v>
      </c>
      <c r="B61" s="112"/>
      <c r="C61" s="6"/>
      <c r="D61" s="6"/>
      <c r="E61" s="6"/>
      <c r="F61" s="42"/>
      <c r="G61" s="43">
        <f>0.00525*POWER(C61,2)*D61+0.278*C61*D61</f>
        <v>0</v>
      </c>
      <c r="H61" s="43"/>
      <c r="I61" s="43">
        <f>0.0135*POWER(C61,2)*D61</f>
        <v>0</v>
      </c>
      <c r="J61" s="43">
        <f>0.127*C61*D61</f>
        <v>0</v>
      </c>
      <c r="K61" s="43">
        <f>0.0463*C61*D61</f>
        <v>0</v>
      </c>
      <c r="L61" s="43"/>
      <c r="M61" s="43"/>
      <c r="N61" s="43"/>
      <c r="O61" s="43">
        <f t="shared" si="9"/>
        <v>0</v>
      </c>
      <c r="P61" s="43">
        <f>0.0829*POWER(C61,2)</f>
        <v>0</v>
      </c>
      <c r="Q61" s="33">
        <f t="shared" si="10"/>
        <v>0</v>
      </c>
      <c r="R61" s="50" t="e">
        <f>#REF!*0.5*44/12</f>
        <v>#REF!</v>
      </c>
    </row>
    <row r="62" spans="1:19" x14ac:dyDescent="0.25">
      <c r="R62"/>
    </row>
    <row r="63" spans="1:19" x14ac:dyDescent="0.25">
      <c r="R63"/>
    </row>
    <row r="64" spans="1:19" x14ac:dyDescent="0.25">
      <c r="A64" t="s">
        <v>221</v>
      </c>
      <c r="R64"/>
    </row>
    <row r="65" spans="1:18" x14ac:dyDescent="0.25">
      <c r="R65"/>
    </row>
    <row r="66" spans="1:18" x14ac:dyDescent="0.25">
      <c r="A66" s="123" t="s">
        <v>226</v>
      </c>
    </row>
    <row r="67" spans="1:18" x14ac:dyDescent="0.25">
      <c r="A67" s="122"/>
    </row>
    <row r="68" spans="1:18" x14ac:dyDescent="0.25">
      <c r="A68" s="108" t="s">
        <v>43</v>
      </c>
      <c r="B68" s="114"/>
    </row>
    <row r="69" spans="1:18" x14ac:dyDescent="0.25">
      <c r="A69" s="109" t="s">
        <v>44</v>
      </c>
      <c r="B69" s="115"/>
    </row>
    <row r="70" spans="1:18" x14ac:dyDescent="0.25">
      <c r="A70" s="108" t="s">
        <v>47</v>
      </c>
      <c r="B70" s="114"/>
    </row>
    <row r="71" spans="1:18" x14ac:dyDescent="0.25">
      <c r="A71" s="108" t="s">
        <v>222</v>
      </c>
      <c r="B71" s="114"/>
    </row>
    <row r="72" spans="1:18" x14ac:dyDescent="0.25">
      <c r="A72" s="108" t="s">
        <v>48</v>
      </c>
      <c r="B72" s="114"/>
    </row>
    <row r="73" spans="1:18" x14ac:dyDescent="0.25">
      <c r="A73" s="108" t="s">
        <v>179</v>
      </c>
      <c r="B73" s="114"/>
    </row>
    <row r="74" spans="1:18" x14ac:dyDescent="0.25">
      <c r="A74" s="108" t="s">
        <v>180</v>
      </c>
      <c r="B74" s="114"/>
    </row>
    <row r="75" spans="1:18" x14ac:dyDescent="0.25">
      <c r="A75" s="108" t="s">
        <v>24</v>
      </c>
      <c r="B75" s="114"/>
    </row>
    <row r="76" spans="1:18" x14ac:dyDescent="0.25">
      <c r="A76" s="108" t="s">
        <v>97</v>
      </c>
      <c r="B76" s="114"/>
    </row>
    <row r="77" spans="1:18" x14ac:dyDescent="0.25">
      <c r="A77" s="108" t="s">
        <v>181</v>
      </c>
      <c r="B77" s="114"/>
    </row>
    <row r="78" spans="1:18" x14ac:dyDescent="0.25">
      <c r="A78" s="110"/>
      <c r="B78" s="116"/>
    </row>
  </sheetData>
  <autoFilter ref="A2:R64" xr:uid="{00000000-0009-0000-0000-00000B000000}"/>
  <mergeCells count="3">
    <mergeCell ref="A1:E1"/>
    <mergeCell ref="F1:R1"/>
    <mergeCell ref="S1:S2"/>
  </mergeCells>
  <phoneticPr fontId="73" type="noConversion"/>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9"/>
  <dimension ref="A1:I64"/>
  <sheetViews>
    <sheetView topLeftCell="A13" workbookViewId="0">
      <selection activeCell="G8" sqref="G8"/>
    </sheetView>
  </sheetViews>
  <sheetFormatPr baseColWidth="10" defaultRowHeight="15" x14ac:dyDescent="0.25"/>
  <cols>
    <col min="1" max="1" width="30.7109375" bestFit="1" customWidth="1"/>
    <col min="2" max="2" width="14.85546875" bestFit="1" customWidth="1"/>
    <col min="3" max="3" width="13.5703125" customWidth="1"/>
    <col min="5" max="5" width="11" bestFit="1" customWidth="1"/>
  </cols>
  <sheetData>
    <row r="1" spans="1:5" ht="48" x14ac:dyDescent="0.25">
      <c r="A1" s="34" t="s">
        <v>93</v>
      </c>
      <c r="B1" s="34" t="s">
        <v>175</v>
      </c>
      <c r="C1" s="34" t="s">
        <v>176</v>
      </c>
      <c r="D1" s="53" t="s">
        <v>177</v>
      </c>
      <c r="E1" s="324" t="s">
        <v>208</v>
      </c>
    </row>
    <row r="2" spans="1:5" x14ac:dyDescent="0.25">
      <c r="A2" s="51" t="s">
        <v>43</v>
      </c>
      <c r="B2" s="52">
        <v>20</v>
      </c>
      <c r="C2" s="54">
        <v>3.2</v>
      </c>
      <c r="D2" s="54">
        <v>4.7</v>
      </c>
      <c r="E2" s="90">
        <v>0</v>
      </c>
    </row>
    <row r="3" spans="1:5" x14ac:dyDescent="0.25">
      <c r="A3" s="51" t="s">
        <v>43</v>
      </c>
      <c r="B3" s="91">
        <v>25</v>
      </c>
      <c r="C3" s="54">
        <v>5.9</v>
      </c>
      <c r="D3" s="54">
        <v>5.8</v>
      </c>
      <c r="E3" s="92">
        <v>5.7257669413919412E-3</v>
      </c>
    </row>
    <row r="4" spans="1:5" x14ac:dyDescent="0.25">
      <c r="A4" s="93" t="s">
        <v>43</v>
      </c>
      <c r="B4" s="94">
        <v>30</v>
      </c>
      <c r="C4" s="95">
        <v>8.6999999999999993</v>
      </c>
      <c r="D4" s="95">
        <v>6.9</v>
      </c>
      <c r="E4" s="90">
        <v>1.6673433333333335E-2</v>
      </c>
    </row>
    <row r="5" spans="1:5" x14ac:dyDescent="0.25">
      <c r="A5" s="51" t="s">
        <v>43</v>
      </c>
      <c r="B5" s="96">
        <v>35</v>
      </c>
      <c r="C5" s="54">
        <v>11.4</v>
      </c>
      <c r="D5" s="54">
        <v>7.9</v>
      </c>
      <c r="E5" s="97">
        <v>3.6539242599000384E-2</v>
      </c>
    </row>
    <row r="6" spans="1:5" x14ac:dyDescent="0.25">
      <c r="A6" s="51" t="s">
        <v>43</v>
      </c>
      <c r="B6" s="52">
        <v>40</v>
      </c>
      <c r="C6" s="54">
        <v>14.1</v>
      </c>
      <c r="D6" s="54">
        <v>9</v>
      </c>
      <c r="E6" s="90">
        <v>7.085028328611899E-2</v>
      </c>
    </row>
    <row r="7" spans="1:5" x14ac:dyDescent="0.25">
      <c r="A7" s="55" t="s">
        <v>44</v>
      </c>
      <c r="B7" s="56">
        <v>20</v>
      </c>
      <c r="C7" s="57">
        <v>14.6</v>
      </c>
      <c r="D7" s="57">
        <v>12.5</v>
      </c>
      <c r="E7" s="98">
        <v>5.106013626430133E-2</v>
      </c>
    </row>
    <row r="8" spans="1:5" x14ac:dyDescent="0.25">
      <c r="A8" s="55" t="s">
        <v>44</v>
      </c>
      <c r="B8" s="56">
        <v>25</v>
      </c>
      <c r="C8" s="57">
        <v>18.899999999999999</v>
      </c>
      <c r="D8" s="57">
        <v>15.7</v>
      </c>
      <c r="E8" s="98">
        <v>0.1640738859845656</v>
      </c>
    </row>
    <row r="9" spans="1:5" x14ac:dyDescent="0.25">
      <c r="A9" s="55" t="s">
        <v>44</v>
      </c>
      <c r="B9" s="56">
        <v>30</v>
      </c>
      <c r="C9" s="57">
        <v>23.2</v>
      </c>
      <c r="D9" s="57">
        <v>18.600000000000001</v>
      </c>
      <c r="E9" s="98">
        <v>0.33158945736434114</v>
      </c>
    </row>
    <row r="10" spans="1:5" x14ac:dyDescent="0.25">
      <c r="A10" s="55" t="s">
        <v>44</v>
      </c>
      <c r="B10" s="56">
        <v>35</v>
      </c>
      <c r="C10" s="57">
        <v>27.5</v>
      </c>
      <c r="D10" s="57">
        <v>21.3</v>
      </c>
      <c r="E10" s="98">
        <v>0.60059647999999999</v>
      </c>
    </row>
    <row r="11" spans="1:5" x14ac:dyDescent="0.25">
      <c r="A11" s="51" t="s">
        <v>44</v>
      </c>
      <c r="B11" s="91">
        <v>40</v>
      </c>
      <c r="C11" s="54">
        <v>31.5</v>
      </c>
      <c r="D11" s="54">
        <v>23.6</v>
      </c>
      <c r="E11" s="99">
        <v>1.0273610884353743</v>
      </c>
    </row>
    <row r="12" spans="1:5" x14ac:dyDescent="0.25">
      <c r="A12" s="51" t="s">
        <v>47</v>
      </c>
      <c r="B12" s="52">
        <v>20</v>
      </c>
      <c r="C12" s="54">
        <v>29.8</v>
      </c>
      <c r="D12" s="54">
        <v>24.3</v>
      </c>
      <c r="E12" s="100">
        <v>0.70054311808118064</v>
      </c>
    </row>
    <row r="13" spans="1:5" x14ac:dyDescent="0.25">
      <c r="A13" s="51" t="s">
        <v>47</v>
      </c>
      <c r="B13" s="52">
        <v>25</v>
      </c>
      <c r="C13" s="54">
        <v>35.5</v>
      </c>
      <c r="D13" s="54">
        <v>28.2</v>
      </c>
      <c r="E13" s="100">
        <v>1.1394439598997494</v>
      </c>
    </row>
    <row r="14" spans="1:5" x14ac:dyDescent="0.25">
      <c r="A14" s="51" t="s">
        <v>47</v>
      </c>
      <c r="B14" s="52">
        <v>30</v>
      </c>
      <c r="C14" s="54">
        <v>40.200000000000003</v>
      </c>
      <c r="D14" s="54">
        <v>31.2</v>
      </c>
      <c r="E14" s="100">
        <v>1.6093192675159234</v>
      </c>
    </row>
    <row r="15" spans="1:5" x14ac:dyDescent="0.25">
      <c r="A15" s="51" t="s">
        <v>47</v>
      </c>
      <c r="B15" s="52">
        <v>35</v>
      </c>
      <c r="C15" s="54">
        <v>44.6</v>
      </c>
      <c r="D15" s="54">
        <v>33.700000000000003</v>
      </c>
      <c r="E15" s="100">
        <v>2.1289793669250643</v>
      </c>
    </row>
    <row r="16" spans="1:5" x14ac:dyDescent="0.25">
      <c r="A16" s="51" t="s">
        <v>47</v>
      </c>
      <c r="B16" s="52">
        <v>40</v>
      </c>
      <c r="C16" s="101">
        <f>(C15/B15)*B16</f>
        <v>50.971428571428568</v>
      </c>
      <c r="D16" s="101">
        <f>(D15/B15)*B16</f>
        <v>38.51428571428572</v>
      </c>
      <c r="E16" s="100">
        <v>2.6825308766666667</v>
      </c>
    </row>
    <row r="17" spans="1:5" x14ac:dyDescent="0.25">
      <c r="A17" s="51" t="s">
        <v>178</v>
      </c>
      <c r="B17" s="52">
        <v>20</v>
      </c>
      <c r="C17" s="101">
        <f>(C19/B19)*B17</f>
        <v>13.799999999999999</v>
      </c>
      <c r="D17" s="101">
        <f>(D19/B19)*B17</f>
        <v>8</v>
      </c>
      <c r="E17" s="100">
        <v>5.2605758333333329E-2</v>
      </c>
    </row>
    <row r="18" spans="1:5" x14ac:dyDescent="0.25">
      <c r="A18" s="51" t="s">
        <v>178</v>
      </c>
      <c r="B18" s="52">
        <v>25</v>
      </c>
      <c r="C18" s="101">
        <f>(C19/B19)*B18</f>
        <v>17.25</v>
      </c>
      <c r="D18" s="101">
        <f>(D19/B19)*B18</f>
        <v>10</v>
      </c>
      <c r="E18" s="100">
        <v>0.16128329479166664</v>
      </c>
    </row>
    <row r="19" spans="1:5" x14ac:dyDescent="0.25">
      <c r="A19" s="51" t="s">
        <v>178</v>
      </c>
      <c r="B19" s="52">
        <v>30</v>
      </c>
      <c r="C19" s="54">
        <v>20.7</v>
      </c>
      <c r="D19" s="54">
        <v>12</v>
      </c>
      <c r="E19" s="100">
        <v>0.25679117535903251</v>
      </c>
    </row>
    <row r="20" spans="1:5" x14ac:dyDescent="0.25">
      <c r="A20" s="51" t="s">
        <v>178</v>
      </c>
      <c r="B20" s="52">
        <v>35</v>
      </c>
      <c r="C20" s="101">
        <f>(C19/B19)*B20</f>
        <v>24.15</v>
      </c>
      <c r="D20" s="101">
        <f>(D19/B19)*B20</f>
        <v>14</v>
      </c>
      <c r="E20" s="100">
        <v>0.44083236770833328</v>
      </c>
    </row>
    <row r="21" spans="1:5" x14ac:dyDescent="0.25">
      <c r="A21" s="51" t="s">
        <v>178</v>
      </c>
      <c r="B21" s="52">
        <v>40</v>
      </c>
      <c r="C21" s="54">
        <v>26.1</v>
      </c>
      <c r="D21" s="54">
        <v>16</v>
      </c>
      <c r="E21" s="100">
        <v>0.51828333333333332</v>
      </c>
    </row>
    <row r="22" spans="1:5" x14ac:dyDescent="0.25">
      <c r="A22" s="51" t="s">
        <v>48</v>
      </c>
      <c r="B22" s="52">
        <v>20</v>
      </c>
      <c r="C22" s="54">
        <v>10.199999999999999</v>
      </c>
      <c r="D22" s="54">
        <v>8.8000000000000007</v>
      </c>
      <c r="E22" s="100">
        <v>4.3579036770583529E-2</v>
      </c>
    </row>
    <row r="23" spans="1:5" x14ac:dyDescent="0.25">
      <c r="A23" s="51" t="s">
        <v>48</v>
      </c>
      <c r="B23" s="52">
        <v>25</v>
      </c>
      <c r="C23" s="54">
        <v>12.6</v>
      </c>
      <c r="D23" s="54">
        <v>12.4</v>
      </c>
      <c r="E23" s="100">
        <v>7.6699104716227012E-2</v>
      </c>
    </row>
    <row r="24" spans="1:5" x14ac:dyDescent="0.25">
      <c r="A24" s="51" t="s">
        <v>48</v>
      </c>
      <c r="B24" s="52">
        <v>30</v>
      </c>
      <c r="C24" s="54">
        <v>17.899999999999999</v>
      </c>
      <c r="D24" s="54">
        <v>15.5</v>
      </c>
      <c r="E24" s="100">
        <v>0.24264071126760559</v>
      </c>
    </row>
    <row r="25" spans="1:5" x14ac:dyDescent="0.25">
      <c r="A25" s="51" t="s">
        <v>48</v>
      </c>
      <c r="B25" s="52">
        <v>35</v>
      </c>
      <c r="C25" s="54">
        <v>22.3</v>
      </c>
      <c r="D25" s="54">
        <v>18.100000000000001</v>
      </c>
      <c r="E25" s="100">
        <v>0.46189196952380951</v>
      </c>
    </row>
    <row r="26" spans="1:5" x14ac:dyDescent="0.25">
      <c r="A26" s="51" t="s">
        <v>48</v>
      </c>
      <c r="B26" s="52">
        <v>40</v>
      </c>
      <c r="C26" s="54">
        <v>26.1</v>
      </c>
      <c r="D26" s="54">
        <v>20.399999999999999</v>
      </c>
      <c r="E26" s="100">
        <v>0.70229562051282046</v>
      </c>
    </row>
    <row r="27" spans="1:5" x14ac:dyDescent="0.25">
      <c r="A27" s="51" t="s">
        <v>179</v>
      </c>
      <c r="B27" s="52">
        <v>20</v>
      </c>
      <c r="C27" s="54">
        <v>16.7</v>
      </c>
      <c r="D27" s="54">
        <v>17.100000000000001</v>
      </c>
      <c r="E27" s="100">
        <v>0.20442394889663182</v>
      </c>
    </row>
    <row r="28" spans="1:5" x14ac:dyDescent="0.25">
      <c r="A28" s="51" t="s">
        <v>179</v>
      </c>
      <c r="B28" s="52">
        <v>25</v>
      </c>
      <c r="C28" s="54">
        <v>23.7</v>
      </c>
      <c r="D28" s="54">
        <v>21.3</v>
      </c>
      <c r="E28" s="100">
        <v>0.7784333333333332</v>
      </c>
    </row>
    <row r="29" spans="1:5" x14ac:dyDescent="0.25">
      <c r="A29" s="51" t="s">
        <v>179</v>
      </c>
      <c r="B29" s="52">
        <v>30</v>
      </c>
      <c r="C29" s="54">
        <v>31.3</v>
      </c>
      <c r="D29" s="54">
        <v>25</v>
      </c>
      <c r="E29" s="100">
        <v>2.0562097959183672</v>
      </c>
    </row>
    <row r="30" spans="1:5" x14ac:dyDescent="0.25">
      <c r="A30" s="51" t="s">
        <v>179</v>
      </c>
      <c r="B30" s="52">
        <v>35</v>
      </c>
      <c r="C30" s="54">
        <v>38.200000000000003</v>
      </c>
      <c r="D30" s="54">
        <v>28.2</v>
      </c>
      <c r="E30" s="100">
        <v>3.7919599811676079</v>
      </c>
    </row>
    <row r="31" spans="1:5" x14ac:dyDescent="0.25">
      <c r="A31" s="51" t="s">
        <v>179</v>
      </c>
      <c r="B31" s="52">
        <v>40</v>
      </c>
      <c r="C31" s="54">
        <v>44.4</v>
      </c>
      <c r="D31" s="54">
        <v>30.8</v>
      </c>
      <c r="E31" s="100">
        <v>5.7591194945848372</v>
      </c>
    </row>
    <row r="32" spans="1:5" x14ac:dyDescent="0.25">
      <c r="A32" s="51" t="s">
        <v>180</v>
      </c>
      <c r="B32" s="52">
        <v>20</v>
      </c>
      <c r="C32" s="54">
        <v>8</v>
      </c>
      <c r="D32" s="54">
        <v>9.5</v>
      </c>
      <c r="E32" s="100">
        <v>4.3707006369426753E-2</v>
      </c>
    </row>
    <row r="33" spans="1:5" x14ac:dyDescent="0.25">
      <c r="A33" s="51" t="s">
        <v>180</v>
      </c>
      <c r="B33" s="52">
        <v>25</v>
      </c>
      <c r="C33" s="54">
        <v>10</v>
      </c>
      <c r="D33" s="54">
        <v>11.4</v>
      </c>
      <c r="E33" s="100">
        <v>7.9045013883379617E-2</v>
      </c>
    </row>
    <row r="34" spans="1:5" x14ac:dyDescent="0.25">
      <c r="A34" s="51" t="s">
        <v>180</v>
      </c>
      <c r="B34" s="52">
        <v>30</v>
      </c>
      <c r="C34" s="54">
        <v>12</v>
      </c>
      <c r="D34" s="54">
        <v>13.2</v>
      </c>
      <c r="E34" s="100">
        <v>0.13044307692307691</v>
      </c>
    </row>
    <row r="35" spans="1:5" x14ac:dyDescent="0.25">
      <c r="A35" s="51" t="s">
        <v>180</v>
      </c>
      <c r="B35" s="52">
        <v>35</v>
      </c>
      <c r="C35" s="54">
        <v>14.2</v>
      </c>
      <c r="D35" s="54">
        <v>14.8</v>
      </c>
      <c r="E35" s="100">
        <v>0.2005983526734926</v>
      </c>
    </row>
    <row r="36" spans="1:5" x14ac:dyDescent="0.25">
      <c r="A36" s="51" t="s">
        <v>180</v>
      </c>
      <c r="B36" s="52">
        <v>40</v>
      </c>
      <c r="C36" s="54">
        <v>16.399999999999999</v>
      </c>
      <c r="D36" s="54">
        <v>16.399999999999999</v>
      </c>
      <c r="E36" s="100">
        <v>0.28954389370306183</v>
      </c>
    </row>
    <row r="37" spans="1:5" x14ac:dyDescent="0.25">
      <c r="A37" s="51" t="s">
        <v>24</v>
      </c>
      <c r="B37" s="52">
        <v>20</v>
      </c>
      <c r="C37" s="54">
        <v>6.1</v>
      </c>
      <c r="D37" s="54">
        <v>8.6</v>
      </c>
      <c r="E37" s="100">
        <v>1.5217287788533138E-2</v>
      </c>
    </row>
    <row r="38" spans="1:5" x14ac:dyDescent="0.25">
      <c r="A38" s="51" t="s">
        <v>24</v>
      </c>
      <c r="B38" s="52">
        <v>25</v>
      </c>
      <c r="C38" s="101">
        <f>(C37/B37)*B38</f>
        <v>7.625</v>
      </c>
      <c r="D38" s="101">
        <f>(D37/B37)*B38</f>
        <v>10.75</v>
      </c>
      <c r="E38" s="100">
        <v>7.1845487999999916E-2</v>
      </c>
    </row>
    <row r="39" spans="1:5" x14ac:dyDescent="0.25">
      <c r="A39" s="51" t="s">
        <v>24</v>
      </c>
      <c r="B39" s="52">
        <v>30</v>
      </c>
      <c r="C39" s="54">
        <v>11</v>
      </c>
      <c r="D39" s="54">
        <v>11.8</v>
      </c>
      <c r="E39" s="100">
        <v>8.4086478733031669E-2</v>
      </c>
    </row>
    <row r="40" spans="1:5" x14ac:dyDescent="0.25">
      <c r="A40" s="51" t="s">
        <v>24</v>
      </c>
      <c r="B40" s="52">
        <v>35</v>
      </c>
      <c r="C40" s="101">
        <f>(C39/B39)*B40</f>
        <v>12.833333333333332</v>
      </c>
      <c r="D40" s="101">
        <f>(D39/B39)*B40</f>
        <v>13.766666666666667</v>
      </c>
      <c r="E40" s="100">
        <v>0.25871283899999992</v>
      </c>
    </row>
    <row r="41" spans="1:5" x14ac:dyDescent="0.25">
      <c r="A41" s="51" t="s">
        <v>24</v>
      </c>
      <c r="B41" s="52">
        <v>40</v>
      </c>
      <c r="C41" s="54">
        <v>15.3</v>
      </c>
      <c r="D41" s="54">
        <v>14.5</v>
      </c>
      <c r="E41" s="100">
        <v>0.22629552729785765</v>
      </c>
    </row>
    <row r="42" spans="1:5" x14ac:dyDescent="0.25">
      <c r="A42" s="51" t="s">
        <v>97</v>
      </c>
      <c r="B42" s="52">
        <v>20</v>
      </c>
      <c r="C42" s="54">
        <v>18.600000000000001</v>
      </c>
      <c r="D42" s="54">
        <v>12.5</v>
      </c>
      <c r="E42" s="100">
        <v>0.31249777777777782</v>
      </c>
    </row>
    <row r="43" spans="1:5" x14ac:dyDescent="0.25">
      <c r="A43" s="51" t="s">
        <v>97</v>
      </c>
      <c r="B43" s="52">
        <v>25</v>
      </c>
      <c r="C43" s="54">
        <v>23.7</v>
      </c>
      <c r="D43" s="54">
        <v>15.1</v>
      </c>
      <c r="E43" s="100">
        <v>0.63104540084388194</v>
      </c>
    </row>
    <row r="44" spans="1:5" x14ac:dyDescent="0.25">
      <c r="A44" s="51" t="s">
        <v>181</v>
      </c>
      <c r="B44" s="52">
        <v>20</v>
      </c>
      <c r="C44" s="54">
        <v>7</v>
      </c>
      <c r="D44" s="54">
        <v>10.199999999999999</v>
      </c>
      <c r="E44" s="100">
        <v>2.4741729460580914E-2</v>
      </c>
    </row>
    <row r="45" spans="1:5" x14ac:dyDescent="0.25">
      <c r="A45" s="51" t="s">
        <v>181</v>
      </c>
      <c r="B45" s="52">
        <v>25</v>
      </c>
      <c r="C45" s="54">
        <v>8.5</v>
      </c>
      <c r="D45" s="54">
        <v>12.5</v>
      </c>
      <c r="E45" s="100">
        <v>4.2108132132132131E-2</v>
      </c>
    </row>
    <row r="46" spans="1:5" x14ac:dyDescent="0.25">
      <c r="A46" s="51" t="s">
        <v>181</v>
      </c>
      <c r="B46" s="52">
        <v>30</v>
      </c>
      <c r="C46" s="54">
        <v>11.2</v>
      </c>
      <c r="D46" s="54">
        <v>14.6</v>
      </c>
      <c r="E46" s="100">
        <v>9.8011439904799699E-2</v>
      </c>
    </row>
    <row r="47" spans="1:5" x14ac:dyDescent="0.25">
      <c r="A47" s="51" t="s">
        <v>181</v>
      </c>
      <c r="B47" s="52">
        <v>35</v>
      </c>
      <c r="C47" s="54">
        <v>14.3</v>
      </c>
      <c r="D47" s="54">
        <v>16.600000000000001</v>
      </c>
      <c r="E47" s="100">
        <v>0.2209103448275862</v>
      </c>
    </row>
    <row r="48" spans="1:5" x14ac:dyDescent="0.25">
      <c r="A48" s="51" t="s">
        <v>181</v>
      </c>
      <c r="B48" s="52">
        <v>40</v>
      </c>
      <c r="C48" s="54">
        <v>17.5</v>
      </c>
      <c r="D48" s="54">
        <v>18.3</v>
      </c>
      <c r="E48" s="100">
        <v>0.4726752487309645</v>
      </c>
    </row>
    <row r="51" spans="1:9" x14ac:dyDescent="0.25">
      <c r="E51" s="178">
        <v>20</v>
      </c>
      <c r="F51" s="179">
        <v>25</v>
      </c>
      <c r="G51" s="176">
        <v>30</v>
      </c>
      <c r="H51" s="175">
        <v>35</v>
      </c>
      <c r="I51" s="177">
        <v>40</v>
      </c>
    </row>
    <row r="52" spans="1:9" ht="48" x14ac:dyDescent="0.25">
      <c r="A52" s="25" t="s">
        <v>93</v>
      </c>
      <c r="B52" s="25" t="s">
        <v>280</v>
      </c>
      <c r="C52" s="172" t="s">
        <v>130</v>
      </c>
      <c r="D52" s="172" t="s">
        <v>131</v>
      </c>
      <c r="E52" s="14" t="s">
        <v>281</v>
      </c>
      <c r="F52" s="15" t="s">
        <v>281</v>
      </c>
      <c r="G52" s="16" t="s">
        <v>282</v>
      </c>
      <c r="H52" s="17" t="s">
        <v>282</v>
      </c>
      <c r="I52" s="18" t="s">
        <v>282</v>
      </c>
    </row>
    <row r="53" spans="1:9" x14ac:dyDescent="0.25">
      <c r="A53" s="180" t="s">
        <v>43</v>
      </c>
      <c r="B53" s="12" t="s">
        <v>283</v>
      </c>
      <c r="C53" s="12">
        <v>20</v>
      </c>
      <c r="D53" s="12">
        <v>160</v>
      </c>
      <c r="E53" s="21">
        <v>0</v>
      </c>
      <c r="F53" s="21">
        <v>1.3403926544766707E-3</v>
      </c>
      <c r="G53" s="21">
        <v>5.1384960369795715E-3</v>
      </c>
      <c r="H53" s="21">
        <v>8.7420961601187633E-3</v>
      </c>
      <c r="I53" s="21">
        <v>2.2566878937345609E-2</v>
      </c>
    </row>
    <row r="54" spans="1:9" x14ac:dyDescent="0.25">
      <c r="A54" s="173" t="s">
        <v>44</v>
      </c>
      <c r="B54" s="174" t="s">
        <v>94</v>
      </c>
      <c r="C54" s="174">
        <v>30</v>
      </c>
      <c r="D54" s="174">
        <v>150</v>
      </c>
      <c r="E54" s="21">
        <v>3.4157697129970299E-2</v>
      </c>
      <c r="F54" s="21">
        <v>4.2697121412462874E-2</v>
      </c>
      <c r="G54" s="21">
        <v>5.1236545694955449E-2</v>
      </c>
      <c r="H54" s="21">
        <v>0.10884537979242993</v>
      </c>
      <c r="I54" s="21">
        <v>0.12636076078387784</v>
      </c>
    </row>
    <row r="55" spans="1:9" x14ac:dyDescent="0.25">
      <c r="A55" s="181" t="s">
        <v>284</v>
      </c>
      <c r="B55" s="182" t="s">
        <v>285</v>
      </c>
      <c r="C55" s="182">
        <v>5</v>
      </c>
      <c r="D55" s="182">
        <v>44</v>
      </c>
      <c r="E55" s="183">
        <v>0.2327115308614556</v>
      </c>
      <c r="F55" s="183">
        <v>0.40856203182870365</v>
      </c>
      <c r="G55" s="183">
        <v>0.58249493630952376</v>
      </c>
      <c r="H55" s="183">
        <v>0.74304199720492636</v>
      </c>
      <c r="I55" s="183">
        <v>0.91206257563956428</v>
      </c>
    </row>
    <row r="56" spans="1:9" x14ac:dyDescent="0.25">
      <c r="A56" s="181" t="s">
        <v>284</v>
      </c>
      <c r="B56" s="182" t="s">
        <v>286</v>
      </c>
      <c r="C56" s="182">
        <v>6</v>
      </c>
      <c r="D56" s="182">
        <v>30</v>
      </c>
      <c r="E56" s="183">
        <v>0.32827964901620366</v>
      </c>
      <c r="F56" s="183">
        <v>0.53815745067959075</v>
      </c>
      <c r="G56" s="183">
        <v>0.69121584652967782</v>
      </c>
      <c r="H56" s="183">
        <v>0.80641848761795754</v>
      </c>
      <c r="I56" s="183">
        <v>0.92162112870623725</v>
      </c>
    </row>
    <row r="57" spans="1:9" x14ac:dyDescent="0.25">
      <c r="A57" s="181" t="s">
        <v>287</v>
      </c>
      <c r="B57" s="182" t="s">
        <v>288</v>
      </c>
      <c r="C57" s="182">
        <v>30</v>
      </c>
      <c r="D57" s="182">
        <v>120</v>
      </c>
      <c r="E57" s="183">
        <v>0.11982849020241199</v>
      </c>
      <c r="F57" s="183">
        <v>0.14978561275301497</v>
      </c>
      <c r="G57" s="183">
        <v>0.17974273530361798</v>
      </c>
      <c r="H57" s="183">
        <v>0.26196202857543643</v>
      </c>
      <c r="I57" s="183">
        <v>0.35801687535521448</v>
      </c>
    </row>
    <row r="58" spans="1:9" x14ac:dyDescent="0.25">
      <c r="A58" s="173" t="s">
        <v>47</v>
      </c>
      <c r="B58" s="174" t="s">
        <v>95</v>
      </c>
      <c r="C58" s="174">
        <v>10</v>
      </c>
      <c r="D58" s="174">
        <v>35</v>
      </c>
      <c r="E58" s="28">
        <v>0.4564333244723322</v>
      </c>
      <c r="F58" s="28">
        <v>0.78694276633853766</v>
      </c>
      <c r="G58" s="28">
        <v>1.1651157738742044</v>
      </c>
      <c r="H58" s="28">
        <v>1.5580231120134596</v>
      </c>
      <c r="I58" s="28">
        <v>1.7805978423010973</v>
      </c>
    </row>
    <row r="59" spans="1:9" x14ac:dyDescent="0.25">
      <c r="A59" s="181" t="s">
        <v>48</v>
      </c>
      <c r="B59" s="182" t="s">
        <v>288</v>
      </c>
      <c r="C59" s="182">
        <v>20</v>
      </c>
      <c r="D59" s="182">
        <v>180</v>
      </c>
      <c r="E59" s="183">
        <v>2.0214699176883854E-2</v>
      </c>
      <c r="F59" s="183">
        <v>5.0853708186201808E-2</v>
      </c>
      <c r="G59" s="183">
        <v>6.102444982344217E-2</v>
      </c>
      <c r="H59" s="183">
        <v>0.14704079816421481</v>
      </c>
      <c r="I59" s="183">
        <v>0.16804662647338833</v>
      </c>
    </row>
    <row r="60" spans="1:9" x14ac:dyDescent="0.25">
      <c r="A60" s="181" t="s">
        <v>48</v>
      </c>
      <c r="B60" s="182" t="s">
        <v>94</v>
      </c>
      <c r="C60" s="182">
        <v>30</v>
      </c>
      <c r="D60" s="182">
        <v>120</v>
      </c>
      <c r="E60" s="183">
        <v>3.1639288306640985E-2</v>
      </c>
      <c r="F60" s="183">
        <v>3.9549110383301236E-2</v>
      </c>
      <c r="G60" s="183">
        <v>4.7458932459961474E-2</v>
      </c>
      <c r="H60" s="183">
        <v>9.1964080011148003E-2</v>
      </c>
      <c r="I60" s="183">
        <v>0.10795822541769297</v>
      </c>
    </row>
    <row r="61" spans="1:9" x14ac:dyDescent="0.25">
      <c r="A61" s="181" t="s">
        <v>48</v>
      </c>
      <c r="B61" s="182" t="s">
        <v>96</v>
      </c>
      <c r="C61" s="182">
        <v>30</v>
      </c>
      <c r="D61" s="182">
        <v>120</v>
      </c>
      <c r="E61" s="183">
        <v>4.3635426256541009E-2</v>
      </c>
      <c r="F61" s="183">
        <v>5.4544282820676256E-2</v>
      </c>
      <c r="G61" s="183">
        <v>6.545313938481151E-2</v>
      </c>
      <c r="H61" s="183">
        <v>0.10950251840392226</v>
      </c>
      <c r="I61" s="183">
        <v>0.16625264941496601</v>
      </c>
    </row>
    <row r="62" spans="1:9" x14ac:dyDescent="0.25">
      <c r="A62" s="173" t="s">
        <v>179</v>
      </c>
      <c r="B62" s="174" t="s">
        <v>95</v>
      </c>
      <c r="C62" s="174">
        <v>10</v>
      </c>
      <c r="D62" s="174">
        <v>80</v>
      </c>
      <c r="E62" s="28">
        <v>9.4258843294660902E-2</v>
      </c>
      <c r="F62" s="28">
        <v>0.30790849982114088</v>
      </c>
      <c r="G62" s="28">
        <v>0.8734257643674681</v>
      </c>
      <c r="H62" s="28">
        <v>1.7375634073374004</v>
      </c>
      <c r="I62" s="28">
        <v>2.8154541038975269</v>
      </c>
    </row>
    <row r="63" spans="1:9" x14ac:dyDescent="0.25">
      <c r="A63" s="173" t="s">
        <v>24</v>
      </c>
      <c r="B63" s="174" t="s">
        <v>95</v>
      </c>
      <c r="C63" s="174">
        <v>20</v>
      </c>
      <c r="D63" s="174">
        <v>180</v>
      </c>
      <c r="E63" s="28">
        <v>3.769774343225004E-3</v>
      </c>
      <c r="F63" s="28">
        <v>2.2674170139378728E-2</v>
      </c>
      <c r="G63" s="28">
        <v>2.720900416725448E-2</v>
      </c>
      <c r="H63" s="28">
        <v>6.9703150798753E-2</v>
      </c>
      <c r="I63" s="28">
        <v>7.9660743770003442E-2</v>
      </c>
    </row>
    <row r="64" spans="1:9" x14ac:dyDescent="0.25">
      <c r="A64" s="173" t="s">
        <v>97</v>
      </c>
      <c r="B64" s="174" t="s">
        <v>283</v>
      </c>
      <c r="C64" s="174">
        <v>15</v>
      </c>
      <c r="D64" s="174">
        <v>69</v>
      </c>
      <c r="E64" s="28">
        <v>0.31249777777777782</v>
      </c>
      <c r="F64" s="28">
        <v>0.63104540084388194</v>
      </c>
      <c r="G64" s="28">
        <v>1.1775088967971532</v>
      </c>
      <c r="H64" s="28">
        <v>1.9324461012736875</v>
      </c>
      <c r="I64" s="28">
        <v>2.9377494692144372</v>
      </c>
    </row>
  </sheetData>
  <autoFilter ref="A1:E48" xr:uid="{00000000-0009-0000-0000-00000C000000}"/>
  <phoneticPr fontId="7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
  <dimension ref="A1:R91"/>
  <sheetViews>
    <sheetView workbookViewId="0">
      <selection activeCell="C38" sqref="C38:D39"/>
    </sheetView>
  </sheetViews>
  <sheetFormatPr baseColWidth="10" defaultRowHeight="15" x14ac:dyDescent="0.25"/>
  <cols>
    <col min="1" max="1" width="14.140625" customWidth="1"/>
    <col min="2" max="2" width="16.42578125" bestFit="1" customWidth="1"/>
    <col min="3" max="3" width="16.85546875" bestFit="1" customWidth="1"/>
    <col min="4" max="4" width="14" bestFit="1" customWidth="1"/>
    <col min="5" max="5" width="10.5703125" bestFit="1" customWidth="1"/>
    <col min="6" max="6" width="8.5703125" bestFit="1" customWidth="1"/>
    <col min="7" max="7" width="10.5703125" bestFit="1" customWidth="1"/>
    <col min="8" max="8" width="8.5703125" bestFit="1" customWidth="1"/>
    <col min="9" max="9" width="10.5703125" bestFit="1" customWidth="1"/>
    <col min="10" max="10" width="8.5703125" bestFit="1" customWidth="1"/>
    <col min="11" max="11" width="10.5703125" bestFit="1" customWidth="1"/>
    <col min="12" max="12" width="42.5703125" bestFit="1" customWidth="1"/>
    <col min="16" max="16" width="28" bestFit="1" customWidth="1"/>
    <col min="17" max="17" width="10.7109375" bestFit="1" customWidth="1"/>
    <col min="18" max="18" width="6.28515625" bestFit="1" customWidth="1"/>
  </cols>
  <sheetData>
    <row r="1" spans="1:18" ht="33" x14ac:dyDescent="0.25">
      <c r="B1" s="276" t="s">
        <v>424</v>
      </c>
      <c r="C1" s="276" t="s">
        <v>114</v>
      </c>
      <c r="D1" s="277" t="s">
        <v>425</v>
      </c>
      <c r="E1" s="277" t="s">
        <v>115</v>
      </c>
      <c r="F1" s="247" t="s">
        <v>426</v>
      </c>
      <c r="G1" s="16" t="s">
        <v>116</v>
      </c>
      <c r="H1" s="249" t="s">
        <v>427</v>
      </c>
      <c r="I1" s="17" t="s">
        <v>117</v>
      </c>
      <c r="J1" s="248" t="s">
        <v>428</v>
      </c>
      <c r="K1" s="248" t="s">
        <v>118</v>
      </c>
      <c r="L1" s="185" t="s">
        <v>75</v>
      </c>
    </row>
    <row r="2" spans="1:18" x14ac:dyDescent="0.25">
      <c r="A2" s="241" t="s">
        <v>191</v>
      </c>
      <c r="B2" s="19">
        <v>0.22804054532011345</v>
      </c>
      <c r="C2" s="19">
        <v>0.34382433153064573</v>
      </c>
      <c r="D2" s="19">
        <v>0.2850506816501418</v>
      </c>
      <c r="E2" s="19">
        <v>0.42978041441330711</v>
      </c>
      <c r="F2" s="19">
        <v>0.34206081798017018</v>
      </c>
      <c r="G2" s="19">
        <v>0.5157364972959686</v>
      </c>
      <c r="H2" s="19">
        <v>0.39907095431019857</v>
      </c>
      <c r="I2" s="19">
        <v>0.60169258017863003</v>
      </c>
      <c r="J2" s="19">
        <v>0.45608109064022689</v>
      </c>
      <c r="K2" s="19">
        <v>0.68764866306129147</v>
      </c>
      <c r="L2" s="6" t="s">
        <v>412</v>
      </c>
      <c r="P2" s="256" t="s">
        <v>429</v>
      </c>
      <c r="Q2" s="256" t="s">
        <v>430</v>
      </c>
      <c r="R2" s="256" t="s">
        <v>431</v>
      </c>
    </row>
    <row r="3" spans="1:18" x14ac:dyDescent="0.25">
      <c r="A3" s="241" t="s">
        <v>58</v>
      </c>
      <c r="B3" s="19">
        <v>1.5489841521071678E-2</v>
      </c>
      <c r="C3" s="19">
        <v>4.8090381579979975E-2</v>
      </c>
      <c r="D3" s="19">
        <v>1.9362301901339599E-2</v>
      </c>
      <c r="E3" s="19">
        <v>6.0112976974974974E-2</v>
      </c>
      <c r="F3" s="19">
        <v>2.3234762281607518E-2</v>
      </c>
      <c r="G3" s="19">
        <v>7.2135572369969952E-2</v>
      </c>
      <c r="H3" s="19">
        <v>2.7107222661875437E-2</v>
      </c>
      <c r="I3" s="19">
        <v>8.4158167764964945E-2</v>
      </c>
      <c r="J3" s="19">
        <v>3.0979683042143356E-2</v>
      </c>
      <c r="K3" s="19">
        <v>9.6180763159959951E-2</v>
      </c>
      <c r="L3" s="6" t="s">
        <v>418</v>
      </c>
      <c r="P3" s="261" t="s">
        <v>3</v>
      </c>
      <c r="Q3" s="262">
        <v>0.61</v>
      </c>
      <c r="R3" s="263">
        <v>0.183</v>
      </c>
    </row>
    <row r="4" spans="1:18" x14ac:dyDescent="0.25">
      <c r="A4" s="241" t="s">
        <v>104</v>
      </c>
      <c r="B4" s="19">
        <v>2.3871095636996648E-2</v>
      </c>
      <c r="C4" s="19">
        <v>7.411115835844527E-2</v>
      </c>
      <c r="D4" s="19">
        <v>2.983886954624581E-2</v>
      </c>
      <c r="E4" s="19">
        <v>9.2638947948056591E-2</v>
      </c>
      <c r="F4" s="19">
        <v>3.5806643455494974E-2</v>
      </c>
      <c r="G4" s="19">
        <v>0.11116673753766791</v>
      </c>
      <c r="H4" s="19">
        <v>4.1774417364744132E-2</v>
      </c>
      <c r="I4" s="19">
        <v>0.12969452712727922</v>
      </c>
      <c r="J4" s="19">
        <v>4.7742191273993297E-2</v>
      </c>
      <c r="K4" s="19">
        <v>0.14822231671689054</v>
      </c>
      <c r="L4" s="6" t="s">
        <v>419</v>
      </c>
      <c r="P4" s="264" t="s">
        <v>167</v>
      </c>
      <c r="Q4" s="252">
        <v>0.61</v>
      </c>
      <c r="R4" s="250">
        <v>0.183</v>
      </c>
    </row>
    <row r="5" spans="1:18" x14ac:dyDescent="0.25">
      <c r="P5" s="264" t="s">
        <v>4</v>
      </c>
      <c r="Q5" s="265">
        <v>0.8</v>
      </c>
      <c r="R5" s="266">
        <v>0.504</v>
      </c>
    </row>
    <row r="6" spans="1:18" x14ac:dyDescent="0.25">
      <c r="P6" s="264" t="s">
        <v>141</v>
      </c>
      <c r="Q6" s="265">
        <v>0.9</v>
      </c>
      <c r="R6" s="266">
        <v>0.81200000000000006</v>
      </c>
    </row>
    <row r="7" spans="1:18" x14ac:dyDescent="0.25">
      <c r="P7" s="264" t="s">
        <v>0</v>
      </c>
      <c r="Q7" s="265">
        <v>0.62</v>
      </c>
      <c r="R7" s="266">
        <v>0.81200000000000006</v>
      </c>
    </row>
    <row r="8" spans="1:18" x14ac:dyDescent="0.25">
      <c r="P8" s="264" t="s">
        <v>187</v>
      </c>
      <c r="Q8" s="265">
        <v>0.8</v>
      </c>
      <c r="R8" s="266">
        <v>0.32300000000000001</v>
      </c>
    </row>
    <row r="9" spans="1:18" x14ac:dyDescent="0.25">
      <c r="A9" s="275" t="s">
        <v>415</v>
      </c>
      <c r="P9" s="261" t="s">
        <v>2</v>
      </c>
      <c r="Q9" s="262">
        <v>0.73</v>
      </c>
      <c r="R9" s="263">
        <v>0.504</v>
      </c>
    </row>
    <row r="10" spans="1:18" x14ac:dyDescent="0.25">
      <c r="A10" s="239" t="s">
        <v>408</v>
      </c>
      <c r="B10" s="239" t="s">
        <v>409</v>
      </c>
      <c r="C10" s="240" t="s">
        <v>410</v>
      </c>
      <c r="D10" s="239" t="s">
        <v>411</v>
      </c>
      <c r="P10" s="261" t="s">
        <v>10</v>
      </c>
      <c r="Q10" s="262">
        <v>0.75</v>
      </c>
      <c r="R10" s="263">
        <v>0.76700000000000002</v>
      </c>
    </row>
    <row r="11" spans="1:18" x14ac:dyDescent="0.25">
      <c r="A11" s="274">
        <v>35</v>
      </c>
      <c r="B11" s="241" t="s">
        <v>191</v>
      </c>
      <c r="C11" s="242">
        <v>20</v>
      </c>
      <c r="D11" s="243">
        <v>18.7</v>
      </c>
      <c r="P11" s="261" t="s">
        <v>432</v>
      </c>
      <c r="Q11" s="262">
        <v>0.55000000000000004</v>
      </c>
      <c r="R11" s="263">
        <v>0.183</v>
      </c>
    </row>
    <row r="12" spans="1:18" x14ac:dyDescent="0.25">
      <c r="A12" s="274">
        <v>45</v>
      </c>
      <c r="B12" s="241" t="s">
        <v>58</v>
      </c>
      <c r="C12" s="242">
        <v>20</v>
      </c>
      <c r="D12" s="243">
        <v>90</v>
      </c>
      <c r="P12" s="261" t="s">
        <v>157</v>
      </c>
      <c r="Q12" s="262">
        <v>1.28</v>
      </c>
      <c r="R12" s="263">
        <v>0.80900000000000005</v>
      </c>
    </row>
    <row r="13" spans="1:18" x14ac:dyDescent="0.25">
      <c r="A13" s="274">
        <v>46</v>
      </c>
      <c r="B13" s="241" t="s">
        <v>104</v>
      </c>
      <c r="C13" s="242">
        <v>20</v>
      </c>
      <c r="D13" s="243">
        <v>80</v>
      </c>
      <c r="P13" s="261" t="s">
        <v>13</v>
      </c>
      <c r="Q13" s="262">
        <v>0.44</v>
      </c>
      <c r="R13" s="263">
        <v>0.28499999999999998</v>
      </c>
    </row>
    <row r="14" spans="1:18" x14ac:dyDescent="0.25">
      <c r="P14" s="264" t="s">
        <v>15</v>
      </c>
      <c r="Q14" s="265">
        <v>0.8</v>
      </c>
      <c r="R14" s="266">
        <v>0.504</v>
      </c>
    </row>
    <row r="15" spans="1:18" x14ac:dyDescent="0.25">
      <c r="P15" s="264" t="s">
        <v>17</v>
      </c>
      <c r="Q15" s="265">
        <v>0.8</v>
      </c>
      <c r="R15" s="266">
        <v>0.32300000000000001</v>
      </c>
    </row>
    <row r="16" spans="1:18" x14ac:dyDescent="0.25">
      <c r="A16" s="275" t="s">
        <v>416</v>
      </c>
      <c r="P16" s="261" t="s">
        <v>433</v>
      </c>
      <c r="Q16" s="262">
        <v>0.55000000000000004</v>
      </c>
      <c r="R16" s="263">
        <v>0.34300000000000003</v>
      </c>
    </row>
    <row r="17" spans="1:18" x14ac:dyDescent="0.25">
      <c r="A17" s="271" t="s">
        <v>410</v>
      </c>
      <c r="B17" s="272" t="s">
        <v>191</v>
      </c>
      <c r="C17" s="272" t="s">
        <v>58</v>
      </c>
      <c r="D17" s="272" t="s">
        <v>104</v>
      </c>
      <c r="P17" s="264" t="s">
        <v>262</v>
      </c>
      <c r="Q17" s="265">
        <v>0.8</v>
      </c>
      <c r="R17" s="266">
        <v>0.34300000000000003</v>
      </c>
    </row>
    <row r="18" spans="1:18" x14ac:dyDescent="0.25">
      <c r="A18" s="273">
        <v>10</v>
      </c>
      <c r="B18" s="19">
        <v>2.9566428359213859E-2</v>
      </c>
      <c r="C18" s="19">
        <v>2.1975292660357693E-2</v>
      </c>
      <c r="D18" s="19">
        <v>4.051966817093941E-2</v>
      </c>
      <c r="P18" s="261" t="s">
        <v>259</v>
      </c>
      <c r="Q18" s="262">
        <v>0.81</v>
      </c>
      <c r="R18" s="263">
        <v>0.77100000000000002</v>
      </c>
    </row>
    <row r="19" spans="1:18" x14ac:dyDescent="0.25">
      <c r="A19" s="273">
        <v>15</v>
      </c>
      <c r="B19" s="19">
        <v>0.10761651024148783</v>
      </c>
      <c r="C19" s="19">
        <v>4.21312175671067E-2</v>
      </c>
      <c r="D19" s="19">
        <v>6.6490692352006359E-2</v>
      </c>
      <c r="P19" s="261" t="s">
        <v>23</v>
      </c>
      <c r="Q19" s="262">
        <v>0.81</v>
      </c>
      <c r="R19" s="263">
        <v>0.77100000000000002</v>
      </c>
    </row>
    <row r="20" spans="1:18" x14ac:dyDescent="0.25">
      <c r="A20" s="278">
        <v>20</v>
      </c>
      <c r="B20" s="184">
        <v>0.21321790987430608</v>
      </c>
      <c r="C20" s="184">
        <v>6.9704286844822549E-2</v>
      </c>
      <c r="D20" s="184">
        <v>9.5484382547986593E-2</v>
      </c>
      <c r="P20" s="264" t="s">
        <v>103</v>
      </c>
      <c r="Q20" s="265">
        <v>0.81</v>
      </c>
      <c r="R20" s="266">
        <v>0.77100000000000002</v>
      </c>
    </row>
    <row r="21" spans="1:18" x14ac:dyDescent="0.25">
      <c r="A21" s="273">
        <v>25</v>
      </c>
      <c r="B21" s="19">
        <v>0.41242294227326021</v>
      </c>
      <c r="C21" s="19">
        <v>0.10637074703611406</v>
      </c>
      <c r="D21" s="19">
        <v>0.13583999705392516</v>
      </c>
      <c r="P21" s="261" t="s">
        <v>24</v>
      </c>
      <c r="Q21" s="262">
        <v>0.81</v>
      </c>
      <c r="R21" s="263">
        <v>0.16300000000000001</v>
      </c>
    </row>
    <row r="22" spans="1:18" x14ac:dyDescent="0.25">
      <c r="A22" s="273">
        <v>30</v>
      </c>
      <c r="B22" s="19">
        <v>0.65717235454102241</v>
      </c>
      <c r="C22" s="19">
        <v>0.1474564781767394</v>
      </c>
      <c r="D22" s="19">
        <v>0.18866656050158939</v>
      </c>
      <c r="P22" s="261" t="s">
        <v>1</v>
      </c>
      <c r="Q22" s="262">
        <v>0.83</v>
      </c>
      <c r="R22" s="263">
        <v>0.504</v>
      </c>
    </row>
    <row r="23" spans="1:18" x14ac:dyDescent="0.25">
      <c r="A23" s="273">
        <v>35</v>
      </c>
      <c r="B23" s="19">
        <v>0.92312696026196195</v>
      </c>
      <c r="C23" s="19">
        <v>0.20421847513628544</v>
      </c>
      <c r="D23" s="19">
        <v>0.24904635619233595</v>
      </c>
      <c r="P23" s="261" t="s">
        <v>434</v>
      </c>
      <c r="Q23" s="262">
        <v>0.8</v>
      </c>
      <c r="R23" s="263">
        <v>0.504</v>
      </c>
    </row>
    <row r="24" spans="1:18" x14ac:dyDescent="0.25">
      <c r="A24" s="273">
        <v>40</v>
      </c>
      <c r="B24" s="19">
        <v>1.2623388412038461</v>
      </c>
      <c r="C24" s="19">
        <v>0.26351223654408806</v>
      </c>
      <c r="D24" s="19">
        <v>0.33332971017822705</v>
      </c>
      <c r="P24" s="261" t="s">
        <v>265</v>
      </c>
      <c r="Q24" s="262">
        <v>0.8</v>
      </c>
      <c r="R24" s="263">
        <v>0.32300000000000001</v>
      </c>
    </row>
    <row r="25" spans="1:18" x14ac:dyDescent="0.25">
      <c r="A25" s="273">
        <v>45</v>
      </c>
      <c r="B25" s="19">
        <v>1.6327250722344411</v>
      </c>
      <c r="C25" s="19">
        <v>0.33643211172898657</v>
      </c>
      <c r="D25" s="19">
        <v>0.41052872959034181</v>
      </c>
      <c r="P25" s="264" t="s">
        <v>255</v>
      </c>
      <c r="Q25" s="265">
        <v>0.8</v>
      </c>
      <c r="R25" s="266">
        <v>0.34300000000000003</v>
      </c>
    </row>
    <row r="26" spans="1:18" x14ac:dyDescent="0.25">
      <c r="A26" s="273">
        <v>50</v>
      </c>
      <c r="B26" s="19">
        <v>2.1777384305222007</v>
      </c>
      <c r="C26" s="19">
        <v>0.40587674952561892</v>
      </c>
      <c r="D26" s="19">
        <v>0.51374618343180112</v>
      </c>
      <c r="P26" s="255" t="s">
        <v>191</v>
      </c>
      <c r="Q26" s="254">
        <v>0.64</v>
      </c>
      <c r="R26" s="253">
        <v>0.28499999999999998</v>
      </c>
    </row>
    <row r="27" spans="1:18" x14ac:dyDescent="0.25">
      <c r="A27" s="273">
        <v>55</v>
      </c>
      <c r="B27" s="19">
        <v>3.1975169280737692</v>
      </c>
      <c r="C27" s="19">
        <v>0.52174230076833061</v>
      </c>
      <c r="D27" s="19">
        <v>0.62022324203983437</v>
      </c>
      <c r="P27" s="261" t="s">
        <v>435</v>
      </c>
      <c r="Q27" s="262">
        <v>0.8</v>
      </c>
      <c r="R27" s="263">
        <v>0.81200000000000006</v>
      </c>
    </row>
    <row r="28" spans="1:18" x14ac:dyDescent="0.25">
      <c r="A28" s="273">
        <v>60</v>
      </c>
      <c r="B28" s="19"/>
      <c r="C28" s="19">
        <v>0.60401232328431287</v>
      </c>
      <c r="D28" s="19">
        <v>0.76665175208012692</v>
      </c>
      <c r="P28" s="261" t="s">
        <v>171</v>
      </c>
      <c r="Q28" s="262">
        <v>1.28</v>
      </c>
      <c r="R28" s="263">
        <v>0.30299999999999999</v>
      </c>
    </row>
    <row r="29" spans="1:18" x14ac:dyDescent="0.25">
      <c r="A29" s="273">
        <v>65</v>
      </c>
      <c r="B29" s="19"/>
      <c r="C29" s="19">
        <v>0.69710210971517172</v>
      </c>
      <c r="D29" s="19">
        <v>0.84606008930260879</v>
      </c>
      <c r="P29" s="261" t="s">
        <v>39</v>
      </c>
      <c r="Q29" s="262">
        <v>0.8</v>
      </c>
      <c r="R29" s="263">
        <v>0.32300000000000001</v>
      </c>
    </row>
    <row r="30" spans="1:18" x14ac:dyDescent="0.25">
      <c r="A30" s="273">
        <v>70</v>
      </c>
      <c r="B30" s="19"/>
      <c r="C30" s="19">
        <v>1.0412385251394589</v>
      </c>
      <c r="D30" s="19">
        <v>1.3808629951019002</v>
      </c>
      <c r="P30" s="261" t="s">
        <v>40</v>
      </c>
      <c r="Q30" s="262">
        <v>0.8</v>
      </c>
      <c r="R30" s="263">
        <v>0.30299999999999999</v>
      </c>
    </row>
    <row r="31" spans="1:18" x14ac:dyDescent="0.25">
      <c r="P31" s="261" t="s">
        <v>41</v>
      </c>
      <c r="Q31" s="262">
        <v>0.44</v>
      </c>
      <c r="R31" s="263">
        <v>0.183</v>
      </c>
    </row>
    <row r="32" spans="1:18" x14ac:dyDescent="0.25">
      <c r="P32" s="261" t="s">
        <v>42</v>
      </c>
      <c r="Q32" s="262">
        <v>0.55000000000000004</v>
      </c>
      <c r="R32" s="263">
        <v>0.25900000000000001</v>
      </c>
    </row>
    <row r="33" spans="1:18" x14ac:dyDescent="0.25">
      <c r="P33" s="261" t="s">
        <v>43</v>
      </c>
      <c r="Q33" s="262">
        <v>0.74</v>
      </c>
      <c r="R33" s="263">
        <v>0.22900000000000001</v>
      </c>
    </row>
    <row r="34" spans="1:18" x14ac:dyDescent="0.25">
      <c r="A34" s="271" t="s">
        <v>93</v>
      </c>
      <c r="B34" s="271" t="s">
        <v>410</v>
      </c>
      <c r="C34" s="239" t="s">
        <v>421</v>
      </c>
      <c r="D34" s="251" t="s">
        <v>422</v>
      </c>
      <c r="P34" s="261" t="s">
        <v>44</v>
      </c>
      <c r="Q34" s="262">
        <v>0.64</v>
      </c>
      <c r="R34" s="263">
        <v>0.24</v>
      </c>
    </row>
    <row r="35" spans="1:18" x14ac:dyDescent="0.25">
      <c r="A35" s="279" t="s">
        <v>191</v>
      </c>
      <c r="B35" s="6">
        <v>20</v>
      </c>
      <c r="C35" s="243">
        <v>18.7</v>
      </c>
      <c r="D35" s="236">
        <v>0.21321790987430608</v>
      </c>
      <c r="P35" s="261" t="s">
        <v>107</v>
      </c>
      <c r="Q35" s="262">
        <v>0.55000000000000004</v>
      </c>
      <c r="R35" s="263">
        <v>0.28499999999999998</v>
      </c>
    </row>
    <row r="36" spans="1:18" x14ac:dyDescent="0.25">
      <c r="A36" s="280"/>
      <c r="B36" s="281"/>
      <c r="C36" s="282">
        <v>20</v>
      </c>
      <c r="D36" s="283">
        <v>0.22804054532011345</v>
      </c>
      <c r="P36" s="261" t="s">
        <v>45</v>
      </c>
      <c r="Q36" s="262">
        <v>0.55000000000000004</v>
      </c>
      <c r="R36" s="263">
        <v>0.28499999999999998</v>
      </c>
    </row>
    <row r="37" spans="1:18" x14ac:dyDescent="0.25">
      <c r="A37" s="280"/>
      <c r="B37" s="281"/>
      <c r="C37" s="282">
        <v>25</v>
      </c>
      <c r="D37" s="283">
        <v>0.2850506816501418</v>
      </c>
      <c r="P37" s="261" t="s">
        <v>135</v>
      </c>
      <c r="Q37" s="262">
        <v>0.55000000000000004</v>
      </c>
      <c r="R37" s="263">
        <v>0.28499999999999998</v>
      </c>
    </row>
    <row r="38" spans="1:18" x14ac:dyDescent="0.25">
      <c r="A38" s="280"/>
      <c r="B38" s="281"/>
      <c r="C38" s="282">
        <v>30</v>
      </c>
      <c r="D38" s="283">
        <v>0.34206081798017018</v>
      </c>
      <c r="P38" s="261" t="s">
        <v>46</v>
      </c>
      <c r="Q38" s="262">
        <v>0.73</v>
      </c>
      <c r="R38" s="263">
        <v>0.24299999999999999</v>
      </c>
    </row>
    <row r="39" spans="1:18" x14ac:dyDescent="0.25">
      <c r="A39" s="280"/>
      <c r="B39" s="281"/>
      <c r="C39" s="282">
        <v>35</v>
      </c>
      <c r="D39" s="283">
        <v>0.39907095431019857</v>
      </c>
      <c r="P39" s="261" t="s">
        <v>47</v>
      </c>
      <c r="Q39" s="262">
        <v>0.44</v>
      </c>
      <c r="R39" s="263">
        <v>0.28499999999999998</v>
      </c>
    </row>
    <row r="40" spans="1:18" x14ac:dyDescent="0.25">
      <c r="A40" s="280"/>
      <c r="B40" s="281"/>
      <c r="C40" s="282">
        <v>40</v>
      </c>
      <c r="D40" s="283">
        <v>0.45608109064022689</v>
      </c>
      <c r="P40" s="261" t="s">
        <v>48</v>
      </c>
      <c r="Q40" s="262">
        <v>0.62</v>
      </c>
      <c r="R40" s="263">
        <v>0.27900000000000003</v>
      </c>
    </row>
    <row r="41" spans="1:18" x14ac:dyDescent="0.25">
      <c r="A41" s="279" t="s">
        <v>58</v>
      </c>
      <c r="B41" s="6">
        <v>20</v>
      </c>
      <c r="C41" s="243">
        <v>90</v>
      </c>
      <c r="D41" s="236">
        <v>6.9704286844822549E-2</v>
      </c>
      <c r="P41" s="261" t="s">
        <v>49</v>
      </c>
      <c r="Q41" s="262">
        <v>0.61</v>
      </c>
      <c r="R41" s="263">
        <v>0.38500000000000001</v>
      </c>
    </row>
    <row r="42" spans="1:18" x14ac:dyDescent="0.25">
      <c r="A42" s="280"/>
      <c r="B42" s="281"/>
      <c r="C42" s="282">
        <v>20</v>
      </c>
      <c r="D42" s="283">
        <v>1.5489841521071678E-2</v>
      </c>
      <c r="P42" s="261" t="s">
        <v>436</v>
      </c>
      <c r="Q42" s="262">
        <v>0.9</v>
      </c>
      <c r="R42" s="263">
        <v>0.76700000000000002</v>
      </c>
    </row>
    <row r="43" spans="1:18" x14ac:dyDescent="0.25">
      <c r="A43" s="280"/>
      <c r="B43" s="281"/>
      <c r="C43" s="282">
        <v>25</v>
      </c>
      <c r="D43" s="283">
        <v>1.9362301901339599E-2</v>
      </c>
      <c r="P43" s="261" t="s">
        <v>252</v>
      </c>
      <c r="Q43" s="262">
        <v>0.62</v>
      </c>
      <c r="R43" s="263">
        <v>0.36299999999999999</v>
      </c>
    </row>
    <row r="44" spans="1:18" x14ac:dyDescent="0.25">
      <c r="A44" s="280"/>
      <c r="B44" s="281"/>
      <c r="C44" s="282">
        <v>30</v>
      </c>
      <c r="D44" s="283">
        <v>2.3234762281607518E-2</v>
      </c>
      <c r="P44" s="261" t="s">
        <v>52</v>
      </c>
      <c r="Q44" s="262">
        <v>0.62</v>
      </c>
      <c r="R44" s="263">
        <v>0.36299999999999999</v>
      </c>
    </row>
    <row r="45" spans="1:18" x14ac:dyDescent="0.25">
      <c r="A45" s="280"/>
      <c r="B45" s="281"/>
      <c r="C45" s="282">
        <v>35</v>
      </c>
      <c r="D45" s="283">
        <v>2.7107222661875437E-2</v>
      </c>
      <c r="P45" s="261" t="s">
        <v>54</v>
      </c>
      <c r="Q45" s="262">
        <v>0.8</v>
      </c>
      <c r="R45" s="263">
        <v>0.504</v>
      </c>
    </row>
    <row r="46" spans="1:18" x14ac:dyDescent="0.25">
      <c r="A46" s="280"/>
      <c r="B46" s="281"/>
      <c r="C46" s="282">
        <v>40</v>
      </c>
      <c r="D46" s="283">
        <v>3.0979683042143356E-2</v>
      </c>
      <c r="P46" s="261" t="s">
        <v>195</v>
      </c>
      <c r="Q46" s="262">
        <v>0.44</v>
      </c>
      <c r="R46" s="263">
        <v>0.28499999999999998</v>
      </c>
    </row>
    <row r="47" spans="1:18" x14ac:dyDescent="0.25">
      <c r="A47" s="279" t="s">
        <v>104</v>
      </c>
      <c r="B47" s="6">
        <v>20</v>
      </c>
      <c r="C47" s="243">
        <v>80</v>
      </c>
      <c r="D47" s="236">
        <v>9.5484382547986593E-2</v>
      </c>
      <c r="P47" s="261" t="s">
        <v>165</v>
      </c>
      <c r="Q47" s="262">
        <v>1</v>
      </c>
      <c r="R47" s="263">
        <v>0.49</v>
      </c>
    </row>
    <row r="48" spans="1:18" x14ac:dyDescent="0.25">
      <c r="A48" s="280"/>
      <c r="B48" s="281"/>
      <c r="C48" s="282">
        <v>20</v>
      </c>
      <c r="D48" s="283">
        <v>2.3871095636996648E-2</v>
      </c>
      <c r="P48" s="261" t="s">
        <v>57</v>
      </c>
      <c r="Q48" s="262">
        <v>1.1100000000000001</v>
      </c>
      <c r="R48" s="263">
        <v>0.35699999999999998</v>
      </c>
    </row>
    <row r="49" spans="1:18" x14ac:dyDescent="0.25">
      <c r="A49" s="280"/>
      <c r="B49" s="281"/>
      <c r="C49" s="282">
        <v>25</v>
      </c>
      <c r="D49" s="283">
        <v>2.983886954624581E-2</v>
      </c>
      <c r="P49" s="255" t="s">
        <v>58</v>
      </c>
      <c r="Q49" s="254">
        <v>1.28</v>
      </c>
      <c r="R49" s="253">
        <v>0.32300000000000001</v>
      </c>
    </row>
    <row r="50" spans="1:18" x14ac:dyDescent="0.25">
      <c r="A50" s="280"/>
      <c r="B50" s="281"/>
      <c r="C50" s="282">
        <v>30</v>
      </c>
      <c r="D50" s="283">
        <v>3.5806643455494974E-2</v>
      </c>
      <c r="P50" s="261" t="s">
        <v>59</v>
      </c>
      <c r="Q50" s="262">
        <v>0.84</v>
      </c>
      <c r="R50" s="263">
        <v>0.35699999999999998</v>
      </c>
    </row>
    <row r="51" spans="1:18" x14ac:dyDescent="0.25">
      <c r="A51" s="280"/>
      <c r="B51" s="281"/>
      <c r="C51" s="282">
        <v>35</v>
      </c>
      <c r="D51" s="283">
        <v>4.1774417364744132E-2</v>
      </c>
      <c r="P51" s="261" t="s">
        <v>60</v>
      </c>
      <c r="Q51" s="262">
        <v>0.89</v>
      </c>
      <c r="R51" s="263">
        <v>0.35699999999999998</v>
      </c>
    </row>
    <row r="52" spans="1:18" x14ac:dyDescent="0.25">
      <c r="A52" s="280"/>
      <c r="B52" s="281"/>
      <c r="C52" s="282">
        <v>40</v>
      </c>
      <c r="D52" s="283">
        <v>4.7742191273993297E-2</v>
      </c>
      <c r="P52" s="261" t="s">
        <v>61</v>
      </c>
      <c r="Q52" s="262">
        <v>1.1100000000000001</v>
      </c>
      <c r="R52" s="263">
        <v>0.35299999999999998</v>
      </c>
    </row>
    <row r="53" spans="1:18" x14ac:dyDescent="0.25">
      <c r="P53" s="261" t="s">
        <v>62</v>
      </c>
      <c r="Q53" s="262">
        <v>0.84</v>
      </c>
      <c r="R53" s="263">
        <v>0.35699999999999998</v>
      </c>
    </row>
    <row r="54" spans="1:18" x14ac:dyDescent="0.25">
      <c r="P54" s="261" t="s">
        <v>98</v>
      </c>
      <c r="Q54" s="262">
        <v>0.8</v>
      </c>
      <c r="R54" s="263">
        <v>0.35699999999999998</v>
      </c>
    </row>
    <row r="55" spans="1:18" x14ac:dyDescent="0.25">
      <c r="P55" s="255" t="s">
        <v>104</v>
      </c>
      <c r="Q55" s="254">
        <v>1.28</v>
      </c>
      <c r="R55" s="253">
        <v>0.32300000000000001</v>
      </c>
    </row>
    <row r="56" spans="1:18" x14ac:dyDescent="0.25">
      <c r="A56" s="284" t="s">
        <v>417</v>
      </c>
      <c r="P56" s="261" t="s">
        <v>437</v>
      </c>
      <c r="Q56" s="262">
        <v>0.8</v>
      </c>
      <c r="R56" s="263">
        <v>0.504</v>
      </c>
    </row>
    <row r="57" spans="1:18" ht="37.5" customHeight="1" x14ac:dyDescent="0.25">
      <c r="B57" s="276" t="s">
        <v>114</v>
      </c>
      <c r="C57" s="277" t="s">
        <v>115</v>
      </c>
      <c r="D57" s="16" t="s">
        <v>116</v>
      </c>
      <c r="E57" s="17" t="s">
        <v>117</v>
      </c>
      <c r="F57" s="18" t="s">
        <v>118</v>
      </c>
      <c r="G57" s="185" t="s">
        <v>75</v>
      </c>
      <c r="P57" s="261" t="s">
        <v>196</v>
      </c>
      <c r="Q57" s="262">
        <v>0.8</v>
      </c>
      <c r="R57" s="263">
        <v>0.504</v>
      </c>
    </row>
    <row r="58" spans="1:18" x14ac:dyDescent="0.25">
      <c r="A58" s="241" t="s">
        <v>191</v>
      </c>
      <c r="B58" s="19">
        <v>0.34382433153064573</v>
      </c>
      <c r="C58" s="19">
        <v>0.42978041441330711</v>
      </c>
      <c r="D58" s="19">
        <v>0.5157364972959686</v>
      </c>
      <c r="E58" s="19">
        <v>0.60169258017863003</v>
      </c>
      <c r="F58" s="19">
        <v>0.68764866306129147</v>
      </c>
      <c r="G58" s="205" t="s">
        <v>412</v>
      </c>
      <c r="P58" s="261" t="s">
        <v>438</v>
      </c>
      <c r="Q58" s="262">
        <v>0.8</v>
      </c>
      <c r="R58" s="263">
        <v>0.504</v>
      </c>
    </row>
    <row r="59" spans="1:18" x14ac:dyDescent="0.25">
      <c r="A59" s="241" t="s">
        <v>58</v>
      </c>
      <c r="B59" s="19">
        <v>4.8090381579979975E-2</v>
      </c>
      <c r="C59" s="19">
        <v>6.0112976974974974E-2</v>
      </c>
      <c r="D59" s="19">
        <v>7.2135572369969952E-2</v>
      </c>
      <c r="E59" s="19">
        <v>8.4158167764964945E-2</v>
      </c>
      <c r="F59" s="19">
        <v>9.6180763159959951E-2</v>
      </c>
      <c r="G59" s="205" t="s">
        <v>418</v>
      </c>
      <c r="P59" s="261" t="s">
        <v>67</v>
      </c>
      <c r="Q59" s="262">
        <v>0.8</v>
      </c>
      <c r="R59" s="263">
        <v>0.81200000000000006</v>
      </c>
    </row>
    <row r="60" spans="1:18" x14ac:dyDescent="0.25">
      <c r="A60" s="241" t="s">
        <v>104</v>
      </c>
      <c r="B60" s="19">
        <v>7.411115835844527E-2</v>
      </c>
      <c r="C60" s="19">
        <v>9.2638947948056591E-2</v>
      </c>
      <c r="D60" s="19">
        <v>0.11116673753766791</v>
      </c>
      <c r="E60" s="19">
        <v>0.12969452712727922</v>
      </c>
      <c r="F60" s="19">
        <v>0.14822231671689054</v>
      </c>
      <c r="G60" s="205" t="s">
        <v>419</v>
      </c>
      <c r="P60" s="261" t="s">
        <v>72</v>
      </c>
      <c r="Q60" s="262">
        <v>0.9</v>
      </c>
      <c r="R60" s="263">
        <v>0.16300000000000001</v>
      </c>
    </row>
    <row r="61" spans="1:18" x14ac:dyDescent="0.25">
      <c r="P61" s="261" t="s">
        <v>73</v>
      </c>
      <c r="Q61" s="262">
        <v>0.9</v>
      </c>
      <c r="R61" s="263">
        <v>0.504</v>
      </c>
    </row>
    <row r="62" spans="1:18" x14ac:dyDescent="0.25">
      <c r="P62" s="267" t="s">
        <v>16</v>
      </c>
      <c r="Q62" s="262">
        <v>0.8</v>
      </c>
      <c r="R62" s="263">
        <v>0.32300000000000001</v>
      </c>
    </row>
    <row r="63" spans="1:18" x14ac:dyDescent="0.25">
      <c r="A63" s="284" t="s">
        <v>420</v>
      </c>
      <c r="P63" s="267" t="s">
        <v>249</v>
      </c>
      <c r="Q63" s="262">
        <v>0.9</v>
      </c>
      <c r="R63" s="268">
        <v>0.81200000000000006</v>
      </c>
    </row>
    <row r="64" spans="1:18" ht="37.5" customHeight="1" x14ac:dyDescent="0.25">
      <c r="A64" s="285" t="s">
        <v>93</v>
      </c>
      <c r="B64" s="276" t="s">
        <v>114</v>
      </c>
      <c r="C64" s="277" t="s">
        <v>115</v>
      </c>
      <c r="D64" s="16" t="s">
        <v>116</v>
      </c>
      <c r="E64" s="17" t="s">
        <v>117</v>
      </c>
      <c r="F64" s="18" t="s">
        <v>118</v>
      </c>
      <c r="G64" s="185" t="s">
        <v>75</v>
      </c>
      <c r="P64" s="267" t="s">
        <v>64</v>
      </c>
      <c r="Q64" s="262">
        <v>0.8</v>
      </c>
      <c r="R64" s="268">
        <v>0.504</v>
      </c>
    </row>
    <row r="65" spans="1:18" x14ac:dyDescent="0.25">
      <c r="A65" s="286" t="s">
        <v>191</v>
      </c>
      <c r="B65" s="236">
        <v>0.51560045604332738</v>
      </c>
      <c r="C65" s="236">
        <v>0.81506933290666295</v>
      </c>
      <c r="D65" s="236">
        <v>0.97808319948799549</v>
      </c>
      <c r="E65" s="236">
        <v>1.3021249696380088</v>
      </c>
      <c r="F65" s="236">
        <v>1.6850556430672088</v>
      </c>
      <c r="G65" s="205" t="s">
        <v>405</v>
      </c>
      <c r="P65" s="267" t="s">
        <v>36</v>
      </c>
      <c r="Q65" s="262">
        <v>0.9</v>
      </c>
      <c r="R65" s="268">
        <v>0.32300000000000001</v>
      </c>
    </row>
    <row r="66" spans="1:18" x14ac:dyDescent="0.25">
      <c r="A66" s="286" t="s">
        <v>58</v>
      </c>
      <c r="B66" s="236">
        <v>4.3569848746908557E-2</v>
      </c>
      <c r="C66" s="236">
        <v>5.4462310933635683E-2</v>
      </c>
      <c r="D66" s="236">
        <v>6.5354773120362836E-2</v>
      </c>
      <c r="E66" s="236">
        <v>0.1027779472551259</v>
      </c>
      <c r="F66" s="236">
        <v>0.11746051114871532</v>
      </c>
      <c r="G66" s="205" t="s">
        <v>405</v>
      </c>
      <c r="P66" s="267" t="s">
        <v>247</v>
      </c>
      <c r="Q66" s="262">
        <v>0.62</v>
      </c>
      <c r="R66" s="268">
        <v>0.81200000000000006</v>
      </c>
    </row>
    <row r="67" spans="1:18" ht="25.5" x14ac:dyDescent="0.25">
      <c r="A67" s="286" t="s">
        <v>104</v>
      </c>
      <c r="B67" s="236">
        <v>8.9315736942597715E-2</v>
      </c>
      <c r="C67" s="236">
        <v>0.11164467117824715</v>
      </c>
      <c r="D67" s="236">
        <v>0.15422721943681011</v>
      </c>
      <c r="E67" s="236">
        <v>0.17993175600961181</v>
      </c>
      <c r="F67" s="236">
        <v>0.20563629258241348</v>
      </c>
      <c r="G67" s="205" t="s">
        <v>405</v>
      </c>
      <c r="P67" s="267" t="s">
        <v>266</v>
      </c>
      <c r="Q67" s="262">
        <v>0.62</v>
      </c>
      <c r="R67" s="268">
        <v>0.36299999999999999</v>
      </c>
    </row>
    <row r="68" spans="1:18" x14ac:dyDescent="0.25">
      <c r="P68" s="267" t="s">
        <v>105</v>
      </c>
      <c r="Q68" s="262">
        <v>0.8</v>
      </c>
      <c r="R68" s="268">
        <v>0.34300000000000003</v>
      </c>
    </row>
    <row r="69" spans="1:18" x14ac:dyDescent="0.25">
      <c r="P69" s="267" t="s">
        <v>108</v>
      </c>
      <c r="Q69" s="262">
        <v>0.62</v>
      </c>
      <c r="R69" s="268">
        <v>0.36299999999999999</v>
      </c>
    </row>
    <row r="70" spans="1:18" x14ac:dyDescent="0.25">
      <c r="P70" s="267" t="s">
        <v>22</v>
      </c>
      <c r="Q70" s="262">
        <v>0.81</v>
      </c>
      <c r="R70" s="268">
        <v>0.77100000000000002</v>
      </c>
    </row>
    <row r="71" spans="1:18" x14ac:dyDescent="0.25">
      <c r="P71" s="267" t="s">
        <v>189</v>
      </c>
      <c r="Q71" s="262">
        <v>0.8</v>
      </c>
      <c r="R71" s="268">
        <v>0.34300000000000003</v>
      </c>
    </row>
    <row r="72" spans="1:18" x14ac:dyDescent="0.25">
      <c r="P72" s="259" t="s">
        <v>194</v>
      </c>
      <c r="Q72" s="262">
        <v>0.62</v>
      </c>
      <c r="R72" s="268">
        <v>0.36299999999999999</v>
      </c>
    </row>
    <row r="73" spans="1:18" x14ac:dyDescent="0.25">
      <c r="P73" s="259" t="s">
        <v>197</v>
      </c>
      <c r="Q73" s="262">
        <v>0.8</v>
      </c>
      <c r="R73" s="268">
        <v>0.34300000000000003</v>
      </c>
    </row>
    <row r="74" spans="1:18" x14ac:dyDescent="0.25">
      <c r="P74" s="258" t="s">
        <v>188</v>
      </c>
      <c r="Q74" s="262">
        <v>0.81</v>
      </c>
      <c r="R74" s="268">
        <v>0.34300000000000003</v>
      </c>
    </row>
    <row r="75" spans="1:18" x14ac:dyDescent="0.25">
      <c r="P75" s="258" t="s">
        <v>193</v>
      </c>
      <c r="Q75" s="262">
        <v>0.55000000000000004</v>
      </c>
      <c r="R75" s="268">
        <v>0.28499999999999998</v>
      </c>
    </row>
    <row r="76" spans="1:18" x14ac:dyDescent="0.25">
      <c r="P76" s="258" t="s">
        <v>30</v>
      </c>
      <c r="Q76" s="262">
        <v>0.62</v>
      </c>
      <c r="R76" s="268">
        <v>0.32300000000000001</v>
      </c>
    </row>
    <row r="77" spans="1:18" x14ac:dyDescent="0.25">
      <c r="P77" s="258" t="s">
        <v>264</v>
      </c>
      <c r="Q77" s="262">
        <v>0.55000000000000004</v>
      </c>
      <c r="R77" s="268">
        <v>0.28499999999999998</v>
      </c>
    </row>
    <row r="78" spans="1:18" x14ac:dyDescent="0.25">
      <c r="P78" s="258" t="s">
        <v>106</v>
      </c>
      <c r="Q78" s="262">
        <v>0.83</v>
      </c>
      <c r="R78" s="268">
        <v>0.504</v>
      </c>
    </row>
    <row r="79" spans="1:18" x14ac:dyDescent="0.25">
      <c r="P79" s="269" t="s">
        <v>25</v>
      </c>
      <c r="Q79" s="262">
        <v>0.8</v>
      </c>
      <c r="R79" s="268">
        <v>0.32300000000000001</v>
      </c>
    </row>
    <row r="80" spans="1:18" x14ac:dyDescent="0.25">
      <c r="P80" s="269" t="s">
        <v>21</v>
      </c>
      <c r="Q80" s="262">
        <v>0.8</v>
      </c>
      <c r="R80" s="268">
        <v>0.34300000000000003</v>
      </c>
    </row>
    <row r="81" spans="16:18" x14ac:dyDescent="0.25">
      <c r="P81" s="269" t="s">
        <v>27</v>
      </c>
      <c r="Q81" s="262">
        <v>0.73</v>
      </c>
      <c r="R81" s="268">
        <v>0.504</v>
      </c>
    </row>
    <row r="82" spans="16:18" x14ac:dyDescent="0.25">
      <c r="P82" s="269" t="s">
        <v>26</v>
      </c>
      <c r="Q82" s="262">
        <v>0.8</v>
      </c>
      <c r="R82" s="268">
        <v>0.32300000000000001</v>
      </c>
    </row>
    <row r="83" spans="16:18" x14ac:dyDescent="0.25">
      <c r="P83" s="269" t="s">
        <v>192</v>
      </c>
      <c r="Q83" s="262" t="s">
        <v>100</v>
      </c>
      <c r="R83" s="268" t="s">
        <v>100</v>
      </c>
    </row>
    <row r="84" spans="16:18" x14ac:dyDescent="0.25">
      <c r="P84" s="269" t="s">
        <v>269</v>
      </c>
      <c r="Q84" s="262" t="s">
        <v>100</v>
      </c>
      <c r="R84" s="268" t="s">
        <v>100</v>
      </c>
    </row>
    <row r="85" spans="16:18" x14ac:dyDescent="0.25">
      <c r="P85" s="269" t="s">
        <v>270</v>
      </c>
      <c r="Q85" s="262">
        <v>0.8</v>
      </c>
      <c r="R85" s="268">
        <v>0.34300000000000003</v>
      </c>
    </row>
    <row r="86" spans="16:18" x14ac:dyDescent="0.25">
      <c r="P86" s="269" t="s">
        <v>271</v>
      </c>
      <c r="Q86" s="262">
        <v>0.8</v>
      </c>
      <c r="R86" s="268">
        <v>0.30299999999999999</v>
      </c>
    </row>
    <row r="87" spans="16:18" x14ac:dyDescent="0.25">
      <c r="P87" s="270" t="s">
        <v>256</v>
      </c>
      <c r="Q87" s="262">
        <v>0.8</v>
      </c>
      <c r="R87" s="268">
        <v>0.504</v>
      </c>
    </row>
    <row r="88" spans="16:18" x14ac:dyDescent="0.25">
      <c r="P88" s="270" t="s">
        <v>258</v>
      </c>
      <c r="Q88" s="262">
        <v>0.9</v>
      </c>
      <c r="R88" s="268">
        <v>0.504</v>
      </c>
    </row>
    <row r="89" spans="16:18" x14ac:dyDescent="0.25">
      <c r="P89" s="269" t="s">
        <v>161</v>
      </c>
      <c r="Q89" s="262">
        <v>0.83</v>
      </c>
      <c r="R89" s="268">
        <v>0.504</v>
      </c>
    </row>
    <row r="90" spans="16:18" x14ac:dyDescent="0.25">
      <c r="P90" s="257" t="s">
        <v>158</v>
      </c>
      <c r="Q90" s="262">
        <v>0.81</v>
      </c>
      <c r="R90" s="268">
        <v>0.77100000000000002</v>
      </c>
    </row>
    <row r="91" spans="16:18" x14ac:dyDescent="0.25">
      <c r="P91" s="260" t="s">
        <v>190</v>
      </c>
      <c r="Q91" s="262">
        <v>0.8</v>
      </c>
      <c r="R91" s="268">
        <v>0.34300000000000003</v>
      </c>
    </row>
  </sheetData>
  <phoneticPr fontId="73"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0"/>
  <dimension ref="A2:A13"/>
  <sheetViews>
    <sheetView workbookViewId="0">
      <selection activeCell="H95" activeCellId="1" sqref="I29 H95"/>
    </sheetView>
  </sheetViews>
  <sheetFormatPr baseColWidth="10" defaultRowHeight="15" x14ac:dyDescent="0.25"/>
  <cols>
    <col min="1" max="1" width="26.28515625" style="4" bestFit="1" customWidth="1"/>
  </cols>
  <sheetData>
    <row r="2" spans="1:1" x14ac:dyDescent="0.25">
      <c r="A2" s="3" t="s">
        <v>30</v>
      </c>
    </row>
    <row r="3" spans="1:1" x14ac:dyDescent="0.25">
      <c r="A3" s="3" t="s">
        <v>31</v>
      </c>
    </row>
    <row r="4" spans="1:1" x14ac:dyDescent="0.25">
      <c r="A4" s="3" t="s">
        <v>74</v>
      </c>
    </row>
    <row r="5" spans="1:1" x14ac:dyDescent="0.25">
      <c r="A5" s="3" t="s">
        <v>32</v>
      </c>
    </row>
    <row r="6" spans="1:1" x14ac:dyDescent="0.25">
      <c r="A6" s="3" t="s">
        <v>35</v>
      </c>
    </row>
    <row r="7" spans="1:1" x14ac:dyDescent="0.25">
      <c r="A7" s="3" t="s">
        <v>36</v>
      </c>
    </row>
    <row r="8" spans="1:1" x14ac:dyDescent="0.25">
      <c r="A8" s="3" t="s">
        <v>37</v>
      </c>
    </row>
    <row r="9" spans="1:1" x14ac:dyDescent="0.25">
      <c r="A9" s="3" t="s">
        <v>38</v>
      </c>
    </row>
    <row r="10" spans="1:1" x14ac:dyDescent="0.25">
      <c r="A10" s="3" t="s">
        <v>56</v>
      </c>
    </row>
    <row r="11" spans="1:1" x14ac:dyDescent="0.25">
      <c r="A11" s="3" t="s">
        <v>66</v>
      </c>
    </row>
    <row r="12" spans="1:1" x14ac:dyDescent="0.25">
      <c r="A12" s="3" t="s">
        <v>68</v>
      </c>
    </row>
    <row r="13" spans="1:1" x14ac:dyDescent="0.25">
      <c r="A13" s="3" t="s">
        <v>16</v>
      </c>
    </row>
  </sheetData>
  <phoneticPr fontId="7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1"/>
  <dimension ref="A1:F317"/>
  <sheetViews>
    <sheetView workbookViewId="0">
      <selection activeCell="D1" sqref="D1:D1048576"/>
    </sheetView>
  </sheetViews>
  <sheetFormatPr baseColWidth="10" defaultRowHeight="15" x14ac:dyDescent="0.25"/>
  <cols>
    <col min="1" max="1" width="25.85546875" style="140" bestFit="1" customWidth="1"/>
    <col min="2" max="2" width="30" style="140" bestFit="1" customWidth="1"/>
    <col min="3" max="3" width="3.28515625" style="140" customWidth="1"/>
    <col min="4" max="4" width="21.28515625" style="140" customWidth="1"/>
    <col min="5" max="5" width="30" style="140" bestFit="1" customWidth="1"/>
  </cols>
  <sheetData>
    <row r="1" spans="1:5" x14ac:dyDescent="0.25">
      <c r="A1" s="151" t="s">
        <v>243</v>
      </c>
      <c r="B1" s="138"/>
      <c r="C1" s="138"/>
      <c r="D1" s="151" t="s">
        <v>244</v>
      </c>
      <c r="E1" s="138"/>
    </row>
    <row r="2" spans="1:5" x14ac:dyDescent="0.25">
      <c r="A2" s="138"/>
      <c r="B2" s="138"/>
      <c r="C2" s="138"/>
      <c r="D2" s="138"/>
      <c r="E2" s="138"/>
    </row>
    <row r="3" spans="1:5" x14ac:dyDescent="0.25">
      <c r="A3" s="139" t="s">
        <v>245</v>
      </c>
      <c r="B3" s="139" t="s">
        <v>246</v>
      </c>
      <c r="D3" s="139" t="s">
        <v>245</v>
      </c>
      <c r="E3" s="139" t="s">
        <v>246</v>
      </c>
    </row>
    <row r="4" spans="1:5" x14ac:dyDescent="0.25">
      <c r="A4" s="149" t="s">
        <v>6</v>
      </c>
      <c r="B4" s="142" t="s">
        <v>247</v>
      </c>
      <c r="C4" s="141"/>
      <c r="D4" s="149" t="s">
        <v>17</v>
      </c>
      <c r="E4" s="149" t="s">
        <v>16</v>
      </c>
    </row>
    <row r="5" spans="1:5" x14ac:dyDescent="0.25">
      <c r="A5" s="149" t="s">
        <v>47</v>
      </c>
      <c r="B5" s="142" t="s">
        <v>248</v>
      </c>
      <c r="C5" s="141"/>
      <c r="D5" s="149" t="s">
        <v>141</v>
      </c>
      <c r="E5" s="149" t="s">
        <v>249</v>
      </c>
    </row>
    <row r="6" spans="1:5" x14ac:dyDescent="0.25">
      <c r="A6" s="149" t="s">
        <v>1</v>
      </c>
      <c r="B6" s="142" t="s">
        <v>16</v>
      </c>
      <c r="C6" s="141"/>
      <c r="D6" s="149" t="s">
        <v>250</v>
      </c>
      <c r="E6" s="149" t="s">
        <v>64</v>
      </c>
    </row>
    <row r="7" spans="1:5" x14ac:dyDescent="0.25">
      <c r="A7" s="149" t="s">
        <v>57</v>
      </c>
      <c r="B7" s="142" t="s">
        <v>58</v>
      </c>
      <c r="C7" s="141"/>
      <c r="D7" s="149" t="s">
        <v>73</v>
      </c>
      <c r="E7" s="149" t="s">
        <v>36</v>
      </c>
    </row>
    <row r="8" spans="1:5" x14ac:dyDescent="0.25">
      <c r="A8" s="149" t="s">
        <v>251</v>
      </c>
      <c r="B8" s="142" t="s">
        <v>13</v>
      </c>
      <c r="C8" s="141"/>
      <c r="D8" s="148" t="s">
        <v>0</v>
      </c>
      <c r="E8" s="142" t="s">
        <v>247</v>
      </c>
    </row>
    <row r="9" spans="1:5" x14ac:dyDescent="0.25">
      <c r="A9" s="149" t="s">
        <v>1</v>
      </c>
      <c r="B9" s="142" t="s">
        <v>249</v>
      </c>
      <c r="C9" s="141"/>
      <c r="D9" s="148" t="s">
        <v>252</v>
      </c>
      <c r="E9" s="148" t="s">
        <v>253</v>
      </c>
    </row>
    <row r="10" spans="1:5" x14ac:dyDescent="0.25">
      <c r="A10" s="149" t="s">
        <v>1</v>
      </c>
      <c r="B10" s="142" t="s">
        <v>64</v>
      </c>
      <c r="C10" s="141"/>
      <c r="D10" s="148" t="s">
        <v>254</v>
      </c>
      <c r="E10" s="148" t="s">
        <v>105</v>
      </c>
    </row>
    <row r="11" spans="1:5" x14ac:dyDescent="0.25">
      <c r="A11" s="149" t="s">
        <v>73</v>
      </c>
      <c r="B11" s="142" t="s">
        <v>36</v>
      </c>
      <c r="D11" s="148" t="s">
        <v>252</v>
      </c>
      <c r="E11" s="148" t="s">
        <v>108</v>
      </c>
    </row>
    <row r="12" spans="1:5" x14ac:dyDescent="0.25">
      <c r="A12" s="146" t="s">
        <v>255</v>
      </c>
      <c r="B12" s="150" t="s">
        <v>105</v>
      </c>
      <c r="D12" s="148" t="s">
        <v>54</v>
      </c>
      <c r="E12" s="147" t="s">
        <v>256</v>
      </c>
    </row>
    <row r="13" spans="1:5" x14ac:dyDescent="0.25">
      <c r="A13" s="147" t="s">
        <v>52</v>
      </c>
      <c r="B13" s="150" t="s">
        <v>253</v>
      </c>
      <c r="D13" s="148" t="s">
        <v>254</v>
      </c>
      <c r="E13" s="147" t="s">
        <v>257</v>
      </c>
    </row>
    <row r="14" spans="1:5" x14ac:dyDescent="0.25">
      <c r="A14" s="147" t="s">
        <v>52</v>
      </c>
      <c r="B14" s="150" t="s">
        <v>108</v>
      </c>
      <c r="D14" s="149" t="s">
        <v>73</v>
      </c>
      <c r="E14" s="147" t="s">
        <v>258</v>
      </c>
    </row>
    <row r="15" spans="1:5" x14ac:dyDescent="0.25">
      <c r="A15" s="146" t="s">
        <v>255</v>
      </c>
      <c r="B15" s="150" t="s">
        <v>257</v>
      </c>
      <c r="D15" s="148" t="s">
        <v>259</v>
      </c>
      <c r="E15" s="147" t="s">
        <v>22</v>
      </c>
    </row>
    <row r="16" spans="1:5" x14ac:dyDescent="0.25">
      <c r="A16" s="146" t="s">
        <v>6</v>
      </c>
      <c r="B16" s="150" t="s">
        <v>260</v>
      </c>
      <c r="D16" s="148" t="s">
        <v>254</v>
      </c>
      <c r="E16" s="150" t="s">
        <v>190</v>
      </c>
    </row>
    <row r="17" spans="1:5" x14ac:dyDescent="0.25">
      <c r="A17" s="149" t="s">
        <v>6</v>
      </c>
      <c r="B17" s="150" t="s">
        <v>8</v>
      </c>
      <c r="D17" s="148" t="s">
        <v>107</v>
      </c>
      <c r="E17" s="150" t="s">
        <v>35</v>
      </c>
    </row>
    <row r="18" spans="1:5" x14ac:dyDescent="0.25">
      <c r="A18" s="149" t="s">
        <v>73</v>
      </c>
      <c r="B18" s="150" t="s">
        <v>261</v>
      </c>
      <c r="D18" s="149" t="s">
        <v>107</v>
      </c>
      <c r="E18" s="150" t="s">
        <v>193</v>
      </c>
    </row>
    <row r="19" spans="1:5" x14ac:dyDescent="0.25">
      <c r="A19" s="148" t="s">
        <v>259</v>
      </c>
      <c r="B19" s="150" t="s">
        <v>22</v>
      </c>
      <c r="D19" s="148" t="s">
        <v>259</v>
      </c>
      <c r="E19" s="148" t="s">
        <v>22</v>
      </c>
    </row>
    <row r="20" spans="1:5" x14ac:dyDescent="0.25">
      <c r="A20" s="149" t="s">
        <v>61</v>
      </c>
      <c r="B20" s="150" t="s">
        <v>104</v>
      </c>
      <c r="D20" s="148" t="s">
        <v>254</v>
      </c>
      <c r="E20" s="150" t="s">
        <v>257</v>
      </c>
    </row>
    <row r="21" spans="1:5" x14ac:dyDescent="0.25">
      <c r="A21" s="149" t="s">
        <v>59</v>
      </c>
      <c r="B21" s="150" t="s">
        <v>171</v>
      </c>
      <c r="D21" s="148" t="s">
        <v>252</v>
      </c>
      <c r="E21" s="150" t="s">
        <v>194</v>
      </c>
    </row>
    <row r="22" spans="1:5" x14ac:dyDescent="0.25">
      <c r="A22" s="149" t="s">
        <v>59</v>
      </c>
      <c r="B22" s="150" t="s">
        <v>157</v>
      </c>
      <c r="D22" s="148" t="s">
        <v>262</v>
      </c>
      <c r="E22" s="150" t="s">
        <v>197</v>
      </c>
    </row>
    <row r="23" spans="1:5" x14ac:dyDescent="0.25">
      <c r="A23" s="146" t="s">
        <v>255</v>
      </c>
      <c r="B23" s="150" t="s">
        <v>190</v>
      </c>
      <c r="D23" s="148" t="s">
        <v>259</v>
      </c>
      <c r="E23" s="147" t="s">
        <v>188</v>
      </c>
    </row>
    <row r="24" spans="1:5" x14ac:dyDescent="0.25">
      <c r="A24" s="146" t="s">
        <v>255</v>
      </c>
      <c r="B24" s="150" t="s">
        <v>190</v>
      </c>
      <c r="D24" s="149" t="s">
        <v>107</v>
      </c>
      <c r="E24" s="147" t="s">
        <v>193</v>
      </c>
    </row>
    <row r="25" spans="1:5" x14ac:dyDescent="0.25">
      <c r="A25" s="149" t="s">
        <v>59</v>
      </c>
      <c r="B25" s="150" t="s">
        <v>263</v>
      </c>
      <c r="D25" s="148" t="s">
        <v>0</v>
      </c>
      <c r="E25" s="147" t="s">
        <v>30</v>
      </c>
    </row>
    <row r="26" spans="1:5" x14ac:dyDescent="0.25">
      <c r="A26" s="149" t="s">
        <v>107</v>
      </c>
      <c r="B26" s="150" t="s">
        <v>35</v>
      </c>
      <c r="D26" s="149" t="s">
        <v>107</v>
      </c>
      <c r="E26" s="147" t="s">
        <v>264</v>
      </c>
    </row>
    <row r="27" spans="1:5" x14ac:dyDescent="0.25">
      <c r="A27" s="146" t="s">
        <v>2</v>
      </c>
      <c r="B27" s="150" t="s">
        <v>141</v>
      </c>
      <c r="D27" s="149" t="s">
        <v>1</v>
      </c>
      <c r="E27" s="147" t="s">
        <v>106</v>
      </c>
    </row>
    <row r="28" spans="1:5" x14ac:dyDescent="0.25">
      <c r="A28" s="147" t="s">
        <v>52</v>
      </c>
      <c r="B28" s="150" t="s">
        <v>194</v>
      </c>
      <c r="D28" s="149" t="s">
        <v>265</v>
      </c>
      <c r="E28" s="147" t="s">
        <v>25</v>
      </c>
    </row>
    <row r="29" spans="1:5" x14ac:dyDescent="0.25">
      <c r="A29" s="149" t="s">
        <v>107</v>
      </c>
      <c r="B29" s="150" t="s">
        <v>193</v>
      </c>
      <c r="D29" s="149" t="s">
        <v>107</v>
      </c>
      <c r="E29" s="147" t="s">
        <v>35</v>
      </c>
    </row>
    <row r="30" spans="1:5" x14ac:dyDescent="0.25">
      <c r="A30" s="149" t="s">
        <v>1</v>
      </c>
      <c r="B30" s="147" t="s">
        <v>39</v>
      </c>
      <c r="D30" s="149" t="s">
        <v>262</v>
      </c>
      <c r="E30" s="150" t="s">
        <v>256</v>
      </c>
    </row>
    <row r="31" spans="1:5" x14ac:dyDescent="0.25">
      <c r="A31" s="149" t="s">
        <v>61</v>
      </c>
      <c r="B31" s="147" t="s">
        <v>104</v>
      </c>
      <c r="D31" s="149" t="s">
        <v>73</v>
      </c>
      <c r="E31" s="150" t="s">
        <v>258</v>
      </c>
    </row>
    <row r="32" spans="1:5" x14ac:dyDescent="0.25">
      <c r="A32" s="149" t="s">
        <v>59</v>
      </c>
      <c r="B32" s="147" t="s">
        <v>165</v>
      </c>
      <c r="D32" s="148" t="s">
        <v>252</v>
      </c>
      <c r="E32" s="147" t="s">
        <v>266</v>
      </c>
    </row>
    <row r="33" spans="1:5" x14ac:dyDescent="0.25">
      <c r="A33" s="149" t="s">
        <v>1</v>
      </c>
      <c r="B33" s="150" t="s">
        <v>197</v>
      </c>
      <c r="D33" s="148" t="s">
        <v>254</v>
      </c>
      <c r="E33" s="147" t="s">
        <v>189</v>
      </c>
    </row>
    <row r="34" spans="1:5" x14ac:dyDescent="0.25">
      <c r="A34" s="148" t="s">
        <v>259</v>
      </c>
      <c r="B34" s="147" t="s">
        <v>188</v>
      </c>
      <c r="D34" s="148" t="s">
        <v>267</v>
      </c>
      <c r="E34" s="147" t="s">
        <v>268</v>
      </c>
    </row>
    <row r="35" spans="1:5" x14ac:dyDescent="0.25">
      <c r="A35" s="149" t="s">
        <v>6</v>
      </c>
      <c r="B35" s="147" t="s">
        <v>30</v>
      </c>
      <c r="D35" s="148" t="s">
        <v>262</v>
      </c>
      <c r="E35" s="147" t="s">
        <v>21</v>
      </c>
    </row>
    <row r="36" spans="1:5" x14ac:dyDescent="0.25">
      <c r="A36" s="149" t="s">
        <v>107</v>
      </c>
      <c r="B36" s="147" t="s">
        <v>264</v>
      </c>
      <c r="D36" s="148" t="s">
        <v>100</v>
      </c>
      <c r="E36" s="147" t="s">
        <v>27</v>
      </c>
    </row>
    <row r="37" spans="1:5" x14ac:dyDescent="0.25">
      <c r="A37" s="149" t="s">
        <v>62</v>
      </c>
      <c r="B37" s="147" t="s">
        <v>98</v>
      </c>
      <c r="D37" s="148" t="s">
        <v>265</v>
      </c>
      <c r="E37" s="147" t="s">
        <v>26</v>
      </c>
    </row>
    <row r="38" spans="1:5" x14ac:dyDescent="0.25">
      <c r="A38" s="149" t="s">
        <v>1</v>
      </c>
      <c r="B38" s="147" t="s">
        <v>106</v>
      </c>
      <c r="D38" s="148" t="s">
        <v>100</v>
      </c>
      <c r="E38" s="147" t="s">
        <v>192</v>
      </c>
    </row>
    <row r="39" spans="1:5" x14ac:dyDescent="0.25">
      <c r="A39" s="149" t="s">
        <v>2</v>
      </c>
      <c r="B39" s="147" t="s">
        <v>15</v>
      </c>
      <c r="D39" s="148" t="s">
        <v>100</v>
      </c>
      <c r="E39" s="147" t="s">
        <v>269</v>
      </c>
    </row>
    <row r="40" spans="1:5" x14ac:dyDescent="0.25">
      <c r="A40" s="146" t="s">
        <v>2</v>
      </c>
      <c r="B40" s="147" t="s">
        <v>67</v>
      </c>
      <c r="D40" s="148" t="s">
        <v>254</v>
      </c>
      <c r="E40" s="147" t="s">
        <v>270</v>
      </c>
    </row>
    <row r="41" spans="1:5" x14ac:dyDescent="0.25">
      <c r="A41" s="149" t="s">
        <v>57</v>
      </c>
      <c r="B41" s="147" t="s">
        <v>25</v>
      </c>
      <c r="D41" s="148" t="s">
        <v>40</v>
      </c>
      <c r="E41" s="147" t="s">
        <v>271</v>
      </c>
    </row>
    <row r="42" spans="1:5" x14ac:dyDescent="0.25">
      <c r="A42" s="149" t="s">
        <v>57</v>
      </c>
      <c r="B42" s="147" t="s">
        <v>58</v>
      </c>
      <c r="D42" s="148" t="s">
        <v>54</v>
      </c>
      <c r="E42" s="150" t="s">
        <v>256</v>
      </c>
    </row>
    <row r="43" spans="1:5" x14ac:dyDescent="0.25">
      <c r="A43" s="149" t="s">
        <v>1</v>
      </c>
      <c r="B43" s="147" t="s">
        <v>196</v>
      </c>
      <c r="D43" s="148" t="s">
        <v>73</v>
      </c>
      <c r="E43" s="150" t="s">
        <v>258</v>
      </c>
    </row>
    <row r="44" spans="1:5" x14ac:dyDescent="0.25">
      <c r="A44" s="149" t="s">
        <v>6</v>
      </c>
      <c r="B44" s="147" t="s">
        <v>17</v>
      </c>
      <c r="D44" s="148" t="s">
        <v>1</v>
      </c>
      <c r="E44" s="147" t="s">
        <v>161</v>
      </c>
    </row>
    <row r="45" spans="1:5" x14ac:dyDescent="0.25">
      <c r="A45" s="146" t="s">
        <v>255</v>
      </c>
      <c r="B45" s="147" t="s">
        <v>189</v>
      </c>
      <c r="D45" s="148" t="s">
        <v>107</v>
      </c>
      <c r="E45" s="147" t="s">
        <v>272</v>
      </c>
    </row>
    <row r="46" spans="1:5" x14ac:dyDescent="0.25">
      <c r="A46" s="147" t="s">
        <v>52</v>
      </c>
      <c r="B46" s="147" t="s">
        <v>266</v>
      </c>
      <c r="D46" s="148" t="s">
        <v>103</v>
      </c>
      <c r="E46" s="147" t="s">
        <v>158</v>
      </c>
    </row>
    <row r="47" spans="1:5" x14ac:dyDescent="0.25">
      <c r="A47" s="149" t="s">
        <v>1</v>
      </c>
      <c r="B47" s="147" t="s">
        <v>196</v>
      </c>
    </row>
    <row r="48" spans="1:5" x14ac:dyDescent="0.25">
      <c r="A48" s="149" t="s">
        <v>1</v>
      </c>
      <c r="B48" s="147" t="s">
        <v>17</v>
      </c>
    </row>
    <row r="49" spans="1:2" x14ac:dyDescent="0.25">
      <c r="A49" s="149" t="s">
        <v>1</v>
      </c>
      <c r="B49" s="147" t="s">
        <v>54</v>
      </c>
    </row>
    <row r="50" spans="1:2" x14ac:dyDescent="0.25">
      <c r="A50" s="149" t="s">
        <v>2</v>
      </c>
      <c r="B50" s="147" t="s">
        <v>72</v>
      </c>
    </row>
    <row r="51" spans="1:2" x14ac:dyDescent="0.25">
      <c r="A51" s="149" t="s">
        <v>23</v>
      </c>
      <c r="B51" s="147" t="s">
        <v>259</v>
      </c>
    </row>
    <row r="52" spans="1:2" x14ac:dyDescent="0.25">
      <c r="A52" s="149" t="s">
        <v>23</v>
      </c>
      <c r="B52" s="147" t="s">
        <v>158</v>
      </c>
    </row>
    <row r="53" spans="1:2" x14ac:dyDescent="0.25">
      <c r="A53" s="149" t="s">
        <v>2</v>
      </c>
      <c r="B53" s="147" t="s">
        <v>268</v>
      </c>
    </row>
    <row r="54" spans="1:2" x14ac:dyDescent="0.25">
      <c r="A54" s="147" t="s">
        <v>52</v>
      </c>
      <c r="B54" s="147" t="s">
        <v>4</v>
      </c>
    </row>
    <row r="55" spans="1:2" x14ac:dyDescent="0.25">
      <c r="A55" s="147" t="s">
        <v>6</v>
      </c>
      <c r="B55" s="147" t="s">
        <v>21</v>
      </c>
    </row>
    <row r="56" spans="1:2" x14ac:dyDescent="0.25">
      <c r="A56" s="147" t="s">
        <v>100</v>
      </c>
      <c r="B56" s="147" t="s">
        <v>27</v>
      </c>
    </row>
    <row r="57" spans="1:2" x14ac:dyDescent="0.25">
      <c r="A57" s="147" t="s">
        <v>57</v>
      </c>
      <c r="B57" s="147" t="s">
        <v>26</v>
      </c>
    </row>
    <row r="58" spans="1:2" x14ac:dyDescent="0.25">
      <c r="A58" s="147" t="s">
        <v>100</v>
      </c>
      <c r="B58" s="147" t="s">
        <v>192</v>
      </c>
    </row>
    <row r="59" spans="1:2" x14ac:dyDescent="0.25">
      <c r="A59" s="147" t="s">
        <v>100</v>
      </c>
      <c r="B59" s="147" t="s">
        <v>269</v>
      </c>
    </row>
    <row r="60" spans="1:2" x14ac:dyDescent="0.25">
      <c r="A60" s="147" t="s">
        <v>255</v>
      </c>
      <c r="B60" s="147" t="s">
        <v>270</v>
      </c>
    </row>
    <row r="61" spans="1:2" x14ac:dyDescent="0.25">
      <c r="A61" s="147" t="s">
        <v>100</v>
      </c>
      <c r="B61" s="147" t="s">
        <v>271</v>
      </c>
    </row>
    <row r="62" spans="1:2" x14ac:dyDescent="0.25">
      <c r="A62" s="148" t="s">
        <v>1</v>
      </c>
      <c r="B62" s="147" t="s">
        <v>161</v>
      </c>
    </row>
    <row r="63" spans="1:2" x14ac:dyDescent="0.25">
      <c r="A63" s="148" t="s">
        <v>107</v>
      </c>
      <c r="B63" s="147" t="s">
        <v>272</v>
      </c>
    </row>
    <row r="64" spans="1:2" x14ac:dyDescent="0.25">
      <c r="A64" s="148" t="s">
        <v>103</v>
      </c>
      <c r="B64" s="147" t="s">
        <v>158</v>
      </c>
    </row>
    <row r="66" spans="1:6" ht="15" customHeight="1" x14ac:dyDescent="0.25">
      <c r="A66" s="807" t="s">
        <v>273</v>
      </c>
      <c r="B66" s="807"/>
      <c r="C66" s="807"/>
      <c r="D66" s="807"/>
      <c r="E66" s="807"/>
      <c r="F66" s="807"/>
    </row>
    <row r="67" spans="1:6" x14ac:dyDescent="0.25">
      <c r="A67" s="807"/>
      <c r="B67" s="807"/>
      <c r="C67" s="807"/>
      <c r="D67" s="807"/>
      <c r="E67" s="807"/>
      <c r="F67" s="807"/>
    </row>
    <row r="69" spans="1:6" x14ac:dyDescent="0.25">
      <c r="A69" s="808" t="s">
        <v>274</v>
      </c>
      <c r="B69" s="808"/>
      <c r="C69" s="808"/>
      <c r="D69" s="808"/>
      <c r="E69" s="808"/>
      <c r="F69" s="808"/>
    </row>
    <row r="70" spans="1:6" x14ac:dyDescent="0.25">
      <c r="A70" s="143"/>
      <c r="B70" s="143"/>
    </row>
    <row r="71" spans="1:6" x14ac:dyDescent="0.25">
      <c r="A71" s="143"/>
      <c r="B71" s="143"/>
    </row>
    <row r="90" spans="1:1" x14ac:dyDescent="0.25">
      <c r="A90" s="144"/>
    </row>
    <row r="102" spans="1:1" x14ac:dyDescent="0.25">
      <c r="A102" s="144"/>
    </row>
    <row r="107" spans="1:1" x14ac:dyDescent="0.25">
      <c r="A107" s="144"/>
    </row>
    <row r="138" spans="1:4" x14ac:dyDescent="0.25">
      <c r="A138" s="145"/>
      <c r="B138" s="145"/>
      <c r="C138" s="145"/>
      <c r="D138" s="145"/>
    </row>
    <row r="139" spans="1:4" x14ac:dyDescent="0.25">
      <c r="A139" s="145"/>
      <c r="B139" s="145"/>
      <c r="C139" s="145"/>
      <c r="D139" s="145"/>
    </row>
    <row r="140" spans="1:4" x14ac:dyDescent="0.25">
      <c r="A140" s="145"/>
      <c r="B140" s="145"/>
      <c r="C140" s="145"/>
      <c r="D140" s="145"/>
    </row>
    <row r="141" spans="1:4" x14ac:dyDescent="0.25">
      <c r="A141" s="145"/>
      <c r="B141" s="145"/>
      <c r="C141" s="145"/>
      <c r="D141" s="145"/>
    </row>
    <row r="142" spans="1:4" x14ac:dyDescent="0.25">
      <c r="A142" s="145"/>
      <c r="B142" s="145"/>
      <c r="C142" s="145"/>
      <c r="D142" s="145"/>
    </row>
    <row r="143" spans="1:4" x14ac:dyDescent="0.25">
      <c r="A143" s="145"/>
      <c r="B143" s="145"/>
      <c r="C143" s="145"/>
      <c r="D143" s="145"/>
    </row>
    <row r="144" spans="1:4" x14ac:dyDescent="0.25">
      <c r="A144" s="145"/>
      <c r="B144" s="145"/>
      <c r="C144" s="145"/>
      <c r="D144" s="145"/>
    </row>
    <row r="145" spans="1:4" x14ac:dyDescent="0.25">
      <c r="A145" s="145"/>
      <c r="B145" s="145"/>
      <c r="C145" s="145"/>
      <c r="D145" s="145"/>
    </row>
    <row r="146" spans="1:4" x14ac:dyDescent="0.25">
      <c r="A146" s="145"/>
      <c r="B146" s="145"/>
      <c r="C146" s="145"/>
      <c r="D146" s="145"/>
    </row>
    <row r="147" spans="1:4" x14ac:dyDescent="0.25">
      <c r="A147" s="145"/>
      <c r="B147" s="145"/>
      <c r="C147" s="145"/>
      <c r="D147" s="145"/>
    </row>
    <row r="148" spans="1:4" x14ac:dyDescent="0.25">
      <c r="A148" s="145"/>
      <c r="B148" s="145"/>
      <c r="C148" s="145"/>
      <c r="D148" s="145"/>
    </row>
    <row r="149" spans="1:4" x14ac:dyDescent="0.25">
      <c r="A149" s="145"/>
      <c r="B149" s="145"/>
      <c r="C149" s="145"/>
      <c r="D149" s="145"/>
    </row>
    <row r="150" spans="1:4" x14ac:dyDescent="0.25">
      <c r="A150" s="145"/>
      <c r="B150" s="145"/>
      <c r="C150" s="145"/>
      <c r="D150" s="145"/>
    </row>
    <row r="151" spans="1:4" x14ac:dyDescent="0.25">
      <c r="A151" s="145"/>
      <c r="B151" s="145"/>
      <c r="C151" s="145"/>
      <c r="D151" s="145"/>
    </row>
    <row r="152" spans="1:4" x14ac:dyDescent="0.25">
      <c r="A152" s="145"/>
      <c r="B152" s="145"/>
      <c r="C152" s="145"/>
      <c r="D152" s="145"/>
    </row>
    <row r="153" spans="1:4" x14ac:dyDescent="0.25">
      <c r="A153" s="145"/>
      <c r="B153" s="145"/>
      <c r="C153" s="145"/>
      <c r="D153" s="145"/>
    </row>
    <row r="154" spans="1:4" x14ac:dyDescent="0.25">
      <c r="A154" s="145"/>
      <c r="B154" s="145"/>
      <c r="C154" s="145"/>
      <c r="D154" s="145"/>
    </row>
    <row r="155" spans="1:4" x14ac:dyDescent="0.25">
      <c r="A155" s="145"/>
      <c r="B155" s="145"/>
      <c r="C155" s="145"/>
      <c r="D155" s="145"/>
    </row>
    <row r="156" spans="1:4" x14ac:dyDescent="0.25">
      <c r="A156" s="145"/>
      <c r="B156" s="145"/>
      <c r="C156" s="145"/>
      <c r="D156" s="145"/>
    </row>
    <row r="157" spans="1:4" x14ac:dyDescent="0.25">
      <c r="A157" s="145"/>
      <c r="B157" s="145"/>
      <c r="C157" s="145"/>
      <c r="D157" s="145"/>
    </row>
    <row r="158" spans="1:4" x14ac:dyDescent="0.25">
      <c r="A158" s="145"/>
      <c r="B158" s="145"/>
      <c r="C158" s="145"/>
      <c r="D158" s="145"/>
    </row>
    <row r="159" spans="1:4" x14ac:dyDescent="0.25">
      <c r="A159" s="145"/>
      <c r="B159" s="145"/>
      <c r="C159" s="145"/>
      <c r="D159" s="145"/>
    </row>
    <row r="160" spans="1:4" x14ac:dyDescent="0.25">
      <c r="A160" s="145"/>
      <c r="B160" s="145"/>
      <c r="C160" s="145"/>
      <c r="D160" s="145"/>
    </row>
    <row r="161" spans="1:4" x14ac:dyDescent="0.25">
      <c r="A161" s="145"/>
      <c r="B161" s="145"/>
      <c r="C161" s="145"/>
      <c r="D161" s="145"/>
    </row>
    <row r="162" spans="1:4" x14ac:dyDescent="0.25">
      <c r="A162" s="145"/>
      <c r="B162" s="145"/>
      <c r="C162" s="145"/>
      <c r="D162" s="145"/>
    </row>
    <row r="163" spans="1:4" x14ac:dyDescent="0.25">
      <c r="A163" s="145"/>
      <c r="B163" s="145"/>
      <c r="C163" s="145"/>
      <c r="D163" s="145"/>
    </row>
    <row r="164" spans="1:4" x14ac:dyDescent="0.25">
      <c r="A164" s="145"/>
      <c r="B164" s="145"/>
      <c r="C164" s="145"/>
      <c r="D164" s="145"/>
    </row>
    <row r="165" spans="1:4" x14ac:dyDescent="0.25">
      <c r="A165" s="145"/>
      <c r="B165" s="145"/>
      <c r="C165" s="145"/>
      <c r="D165" s="145"/>
    </row>
    <row r="166" spans="1:4" x14ac:dyDescent="0.25">
      <c r="A166" s="145"/>
      <c r="B166" s="145"/>
      <c r="C166" s="145"/>
      <c r="D166" s="145"/>
    </row>
    <row r="167" spans="1:4" x14ac:dyDescent="0.25">
      <c r="A167" s="145"/>
      <c r="B167" s="145"/>
      <c r="C167" s="145"/>
      <c r="D167" s="145"/>
    </row>
    <row r="168" spans="1:4" x14ac:dyDescent="0.25">
      <c r="A168" s="145"/>
      <c r="B168" s="145"/>
      <c r="C168" s="145"/>
      <c r="D168" s="145"/>
    </row>
    <row r="169" spans="1:4" x14ac:dyDescent="0.25">
      <c r="A169" s="145"/>
      <c r="B169" s="145"/>
      <c r="C169" s="145"/>
      <c r="D169" s="145"/>
    </row>
    <row r="170" spans="1:4" x14ac:dyDescent="0.25">
      <c r="A170" s="145"/>
      <c r="B170" s="145"/>
      <c r="C170" s="145"/>
      <c r="D170" s="145"/>
    </row>
    <row r="171" spans="1:4" x14ac:dyDescent="0.25">
      <c r="A171" s="145"/>
      <c r="B171" s="145"/>
      <c r="C171" s="145"/>
      <c r="D171" s="145"/>
    </row>
    <row r="172" spans="1:4" x14ac:dyDescent="0.25">
      <c r="A172" s="145"/>
      <c r="B172" s="145"/>
      <c r="C172" s="145"/>
      <c r="D172" s="145"/>
    </row>
    <row r="173" spans="1:4" x14ac:dyDescent="0.25">
      <c r="A173" s="145"/>
      <c r="B173" s="145"/>
      <c r="C173" s="145"/>
      <c r="D173" s="145"/>
    </row>
    <row r="174" spans="1:4" x14ac:dyDescent="0.25">
      <c r="A174" s="145"/>
      <c r="B174" s="145"/>
      <c r="C174" s="145"/>
      <c r="D174" s="145"/>
    </row>
    <row r="175" spans="1:4" x14ac:dyDescent="0.25">
      <c r="A175" s="145"/>
      <c r="B175" s="145"/>
      <c r="C175" s="145"/>
      <c r="D175" s="145"/>
    </row>
    <row r="176" spans="1:4" x14ac:dyDescent="0.25">
      <c r="A176" s="145"/>
      <c r="B176" s="145"/>
      <c r="C176" s="145"/>
      <c r="D176" s="145"/>
    </row>
    <row r="177" spans="1:4" x14ac:dyDescent="0.25">
      <c r="A177" s="145"/>
      <c r="B177" s="145"/>
      <c r="C177" s="145"/>
      <c r="D177" s="145"/>
    </row>
    <row r="178" spans="1:4" x14ac:dyDescent="0.25">
      <c r="A178" s="145"/>
      <c r="B178" s="145"/>
      <c r="C178" s="145"/>
      <c r="D178" s="145"/>
    </row>
    <row r="179" spans="1:4" x14ac:dyDescent="0.25">
      <c r="A179" s="145"/>
      <c r="B179" s="145"/>
      <c r="C179" s="145"/>
      <c r="D179" s="145"/>
    </row>
    <row r="180" spans="1:4" x14ac:dyDescent="0.25">
      <c r="A180" s="145"/>
      <c r="B180" s="145"/>
      <c r="C180" s="145"/>
      <c r="D180" s="145"/>
    </row>
    <row r="181" spans="1:4" x14ac:dyDescent="0.25">
      <c r="A181" s="145"/>
      <c r="B181" s="145"/>
      <c r="C181" s="145"/>
      <c r="D181" s="145"/>
    </row>
    <row r="182" spans="1:4" x14ac:dyDescent="0.25">
      <c r="A182" s="145"/>
      <c r="B182" s="145"/>
      <c r="C182" s="145"/>
      <c r="D182" s="145"/>
    </row>
    <row r="183" spans="1:4" x14ac:dyDescent="0.25">
      <c r="A183" s="145"/>
      <c r="B183" s="145"/>
      <c r="C183" s="145"/>
      <c r="D183" s="145"/>
    </row>
    <row r="184" spans="1:4" x14ac:dyDescent="0.25">
      <c r="A184" s="145"/>
      <c r="B184" s="145"/>
      <c r="C184" s="145"/>
      <c r="D184" s="145"/>
    </row>
    <row r="185" spans="1:4" x14ac:dyDescent="0.25">
      <c r="A185" s="145"/>
      <c r="B185" s="145"/>
      <c r="C185" s="145"/>
      <c r="D185" s="145"/>
    </row>
    <row r="186" spans="1:4" x14ac:dyDescent="0.25">
      <c r="A186" s="145"/>
      <c r="B186" s="145"/>
      <c r="C186" s="145"/>
      <c r="D186" s="145"/>
    </row>
    <row r="187" spans="1:4" x14ac:dyDescent="0.25">
      <c r="A187" s="145"/>
      <c r="B187" s="145"/>
      <c r="C187" s="145"/>
      <c r="D187" s="145"/>
    </row>
    <row r="188" spans="1:4" x14ac:dyDescent="0.25">
      <c r="A188" s="145"/>
      <c r="B188" s="145"/>
      <c r="C188" s="145"/>
      <c r="D188" s="145"/>
    </row>
    <row r="189" spans="1:4" x14ac:dyDescent="0.25">
      <c r="A189" s="145"/>
      <c r="B189" s="145"/>
      <c r="C189" s="145"/>
      <c r="D189" s="145"/>
    </row>
    <row r="190" spans="1:4" x14ac:dyDescent="0.25">
      <c r="A190" s="145"/>
      <c r="B190" s="145"/>
      <c r="C190" s="145"/>
      <c r="D190" s="145"/>
    </row>
    <row r="191" spans="1:4" x14ac:dyDescent="0.25">
      <c r="A191" s="145"/>
      <c r="B191" s="145"/>
      <c r="C191" s="145"/>
      <c r="D191" s="145"/>
    </row>
    <row r="192" spans="1:4" x14ac:dyDescent="0.25">
      <c r="A192" s="145"/>
      <c r="B192" s="145"/>
      <c r="C192" s="145"/>
      <c r="D192" s="145"/>
    </row>
    <row r="193" spans="1:4" x14ac:dyDescent="0.25">
      <c r="A193" s="145"/>
      <c r="B193" s="145"/>
      <c r="C193" s="145"/>
      <c r="D193" s="145"/>
    </row>
    <row r="194" spans="1:4" x14ac:dyDescent="0.25">
      <c r="A194" s="145"/>
      <c r="B194" s="145"/>
      <c r="C194" s="145"/>
      <c r="D194" s="145"/>
    </row>
    <row r="195" spans="1:4" x14ac:dyDescent="0.25">
      <c r="A195" s="145"/>
      <c r="B195" s="145"/>
      <c r="C195" s="145"/>
      <c r="D195" s="145"/>
    </row>
    <row r="196" spans="1:4" x14ac:dyDescent="0.25">
      <c r="A196" s="145"/>
      <c r="B196" s="145"/>
      <c r="C196" s="145"/>
      <c r="D196" s="145"/>
    </row>
    <row r="197" spans="1:4" x14ac:dyDescent="0.25">
      <c r="A197" s="145"/>
      <c r="B197" s="145"/>
      <c r="C197" s="145"/>
      <c r="D197" s="145"/>
    </row>
    <row r="198" spans="1:4" x14ac:dyDescent="0.25">
      <c r="A198" s="145"/>
      <c r="B198" s="145"/>
      <c r="C198" s="145"/>
      <c r="D198" s="145"/>
    </row>
    <row r="199" spans="1:4" x14ac:dyDescent="0.25">
      <c r="A199" s="145"/>
      <c r="B199" s="145"/>
      <c r="C199" s="145"/>
      <c r="D199" s="145"/>
    </row>
    <row r="200" spans="1:4" x14ac:dyDescent="0.25">
      <c r="A200" s="145"/>
      <c r="B200" s="145"/>
      <c r="C200" s="145"/>
      <c r="D200" s="145"/>
    </row>
    <row r="201" spans="1:4" x14ac:dyDescent="0.25">
      <c r="A201" s="145"/>
      <c r="B201" s="145"/>
      <c r="C201" s="145"/>
      <c r="D201" s="145"/>
    </row>
    <row r="202" spans="1:4" x14ac:dyDescent="0.25">
      <c r="A202" s="145"/>
      <c r="B202" s="145"/>
      <c r="C202" s="145"/>
      <c r="D202" s="145"/>
    </row>
    <row r="203" spans="1:4" x14ac:dyDescent="0.25">
      <c r="A203" s="145"/>
      <c r="B203" s="145"/>
      <c r="C203" s="145"/>
      <c r="D203" s="145"/>
    </row>
    <row r="204" spans="1:4" x14ac:dyDescent="0.25">
      <c r="A204" s="145"/>
      <c r="B204" s="145"/>
      <c r="C204" s="145"/>
      <c r="D204" s="145"/>
    </row>
    <row r="205" spans="1:4" x14ac:dyDescent="0.25">
      <c r="A205" s="145"/>
      <c r="B205" s="145"/>
      <c r="C205" s="145"/>
      <c r="D205" s="145"/>
    </row>
    <row r="206" spans="1:4" x14ac:dyDescent="0.25">
      <c r="A206" s="145"/>
      <c r="B206" s="145"/>
      <c r="C206" s="145"/>
      <c r="D206" s="145"/>
    </row>
    <row r="207" spans="1:4" x14ac:dyDescent="0.25">
      <c r="A207" s="145"/>
      <c r="B207" s="145"/>
      <c r="C207" s="145"/>
      <c r="D207" s="145"/>
    </row>
    <row r="208" spans="1:4" x14ac:dyDescent="0.25">
      <c r="A208" s="145"/>
      <c r="B208" s="145"/>
      <c r="C208" s="145"/>
      <c r="D208" s="145"/>
    </row>
    <row r="209" spans="1:4" x14ac:dyDescent="0.25">
      <c r="A209" s="145"/>
      <c r="B209" s="145"/>
      <c r="C209" s="145"/>
      <c r="D209" s="145"/>
    </row>
    <row r="210" spans="1:4" x14ac:dyDescent="0.25">
      <c r="A210" s="145"/>
      <c r="B210" s="145"/>
      <c r="C210" s="145"/>
      <c r="D210" s="145"/>
    </row>
    <row r="211" spans="1:4" x14ac:dyDescent="0.25">
      <c r="A211" s="145"/>
      <c r="B211" s="145"/>
      <c r="C211" s="145"/>
      <c r="D211" s="145"/>
    </row>
    <row r="212" spans="1:4" x14ac:dyDescent="0.25">
      <c r="A212" s="145"/>
      <c r="B212" s="145"/>
      <c r="C212" s="145"/>
      <c r="D212" s="145"/>
    </row>
    <row r="213" spans="1:4" x14ac:dyDescent="0.25">
      <c r="A213" s="145"/>
      <c r="B213" s="145"/>
      <c r="C213" s="145"/>
      <c r="D213" s="145"/>
    </row>
    <row r="214" spans="1:4" x14ac:dyDescent="0.25">
      <c r="A214" s="145"/>
      <c r="B214" s="145"/>
      <c r="C214" s="145"/>
      <c r="D214" s="145"/>
    </row>
    <row r="215" spans="1:4" x14ac:dyDescent="0.25">
      <c r="A215" s="145"/>
      <c r="B215" s="145"/>
      <c r="C215" s="145"/>
      <c r="D215" s="145"/>
    </row>
    <row r="216" spans="1:4" x14ac:dyDescent="0.25">
      <c r="A216" s="145"/>
      <c r="B216" s="145"/>
      <c r="C216" s="145"/>
      <c r="D216" s="145"/>
    </row>
    <row r="217" spans="1:4" x14ac:dyDescent="0.25">
      <c r="A217" s="145"/>
      <c r="B217" s="145"/>
      <c r="C217" s="145"/>
      <c r="D217" s="145"/>
    </row>
    <row r="218" spans="1:4" x14ac:dyDescent="0.25">
      <c r="A218" s="145"/>
      <c r="B218" s="145"/>
      <c r="C218" s="145"/>
      <c r="D218" s="145"/>
    </row>
    <row r="219" spans="1:4" x14ac:dyDescent="0.25">
      <c r="A219" s="145"/>
      <c r="B219" s="145"/>
      <c r="C219" s="145"/>
      <c r="D219" s="145"/>
    </row>
    <row r="220" spans="1:4" x14ac:dyDescent="0.25">
      <c r="A220" s="145"/>
      <c r="B220" s="145"/>
      <c r="C220" s="145"/>
      <c r="D220" s="145"/>
    </row>
    <row r="221" spans="1:4" x14ac:dyDescent="0.25">
      <c r="A221" s="145"/>
      <c r="B221" s="145"/>
      <c r="C221" s="145"/>
      <c r="D221" s="145"/>
    </row>
    <row r="222" spans="1:4" x14ac:dyDescent="0.25">
      <c r="A222" s="145"/>
      <c r="B222" s="145"/>
      <c r="C222" s="145"/>
      <c r="D222" s="145"/>
    </row>
    <row r="223" spans="1:4" x14ac:dyDescent="0.25">
      <c r="A223" s="145"/>
      <c r="B223" s="145"/>
      <c r="C223" s="145"/>
      <c r="D223" s="145"/>
    </row>
    <row r="224" spans="1:4" x14ac:dyDescent="0.25">
      <c r="A224" s="145"/>
      <c r="B224" s="145"/>
      <c r="C224" s="145"/>
      <c r="D224" s="145"/>
    </row>
    <row r="225" spans="1:5" x14ac:dyDescent="0.25">
      <c r="A225" s="145"/>
      <c r="B225" s="145"/>
      <c r="C225" s="145"/>
      <c r="D225" s="145"/>
    </row>
    <row r="226" spans="1:5" x14ac:dyDescent="0.25">
      <c r="A226" s="145"/>
      <c r="B226" s="145"/>
      <c r="C226" s="145"/>
      <c r="D226" s="145"/>
    </row>
    <row r="227" spans="1:5" x14ac:dyDescent="0.25">
      <c r="A227" s="145"/>
      <c r="B227" s="145"/>
      <c r="C227" s="145"/>
      <c r="D227" s="145"/>
    </row>
    <row r="228" spans="1:5" x14ac:dyDescent="0.25">
      <c r="A228" s="145"/>
      <c r="B228" s="145"/>
      <c r="C228" s="145"/>
      <c r="D228" s="145"/>
    </row>
    <row r="229" spans="1:5" x14ac:dyDescent="0.25">
      <c r="A229" s="145"/>
      <c r="B229" s="145"/>
      <c r="C229" s="145"/>
      <c r="D229" s="145"/>
    </row>
    <row r="230" spans="1:5" x14ac:dyDescent="0.25">
      <c r="A230" s="145"/>
      <c r="B230" s="145"/>
      <c r="C230" s="145"/>
      <c r="D230" s="145"/>
      <c r="E230" s="145"/>
    </row>
    <row r="231" spans="1:5" x14ac:dyDescent="0.25">
      <c r="A231" s="145"/>
      <c r="B231" s="145"/>
      <c r="C231" s="145"/>
      <c r="D231" s="145"/>
      <c r="E231" s="145"/>
    </row>
    <row r="232" spans="1:5" x14ac:dyDescent="0.25">
      <c r="A232" s="145"/>
      <c r="B232" s="145"/>
      <c r="C232" s="145"/>
      <c r="D232" s="145"/>
      <c r="E232" s="145"/>
    </row>
    <row r="233" spans="1:5" x14ac:dyDescent="0.25">
      <c r="A233" s="145"/>
      <c r="B233" s="145"/>
      <c r="C233" s="145"/>
      <c r="D233" s="145"/>
      <c r="E233" s="145"/>
    </row>
    <row r="234" spans="1:5" x14ac:dyDescent="0.25">
      <c r="A234" s="145"/>
      <c r="B234" s="145"/>
      <c r="C234" s="145"/>
      <c r="D234" s="145"/>
      <c r="E234" s="145"/>
    </row>
    <row r="235" spans="1:5" x14ac:dyDescent="0.25">
      <c r="A235" s="145"/>
      <c r="B235" s="145"/>
      <c r="C235" s="145"/>
      <c r="D235" s="145"/>
      <c r="E235" s="145"/>
    </row>
    <row r="236" spans="1:5" x14ac:dyDescent="0.25">
      <c r="A236" s="145"/>
      <c r="B236" s="145"/>
      <c r="C236" s="145"/>
      <c r="D236" s="145"/>
      <c r="E236" s="145"/>
    </row>
    <row r="237" spans="1:5" x14ac:dyDescent="0.25">
      <c r="A237" s="145"/>
      <c r="B237" s="145"/>
      <c r="C237" s="145"/>
      <c r="D237" s="145"/>
      <c r="E237" s="145"/>
    </row>
    <row r="238" spans="1:5" x14ac:dyDescent="0.25">
      <c r="A238" s="145"/>
      <c r="B238" s="145"/>
      <c r="C238" s="145"/>
      <c r="D238" s="145"/>
      <c r="E238" s="145"/>
    </row>
    <row r="239" spans="1:5" x14ac:dyDescent="0.25">
      <c r="A239" s="145"/>
      <c r="B239" s="145"/>
      <c r="C239" s="145"/>
      <c r="D239" s="145"/>
      <c r="E239" s="145"/>
    </row>
    <row r="240" spans="1:5" x14ac:dyDescent="0.25">
      <c r="A240" s="145"/>
      <c r="B240" s="145"/>
      <c r="C240" s="145"/>
      <c r="D240" s="145"/>
      <c r="E240" s="145"/>
    </row>
    <row r="241" spans="1:5" x14ac:dyDescent="0.25">
      <c r="A241" s="145"/>
      <c r="B241" s="145"/>
      <c r="C241" s="145"/>
      <c r="D241" s="145"/>
      <c r="E241" s="145"/>
    </row>
    <row r="242" spans="1:5" x14ac:dyDescent="0.25">
      <c r="A242" s="145"/>
      <c r="B242" s="145"/>
      <c r="C242" s="145"/>
      <c r="D242" s="145"/>
      <c r="E242" s="145"/>
    </row>
    <row r="243" spans="1:5" x14ac:dyDescent="0.25">
      <c r="A243" s="145"/>
      <c r="B243" s="145"/>
      <c r="C243" s="145"/>
      <c r="D243" s="145"/>
      <c r="E243" s="145"/>
    </row>
    <row r="244" spans="1:5" x14ac:dyDescent="0.25">
      <c r="A244" s="145"/>
      <c r="B244" s="145"/>
      <c r="C244" s="145"/>
      <c r="D244" s="145"/>
      <c r="E244" s="145"/>
    </row>
    <row r="245" spans="1:5" x14ac:dyDescent="0.25">
      <c r="A245" s="145"/>
      <c r="B245" s="145"/>
      <c r="C245" s="145"/>
      <c r="D245" s="145"/>
      <c r="E245" s="145"/>
    </row>
    <row r="246" spans="1:5" x14ac:dyDescent="0.25">
      <c r="A246" s="145"/>
      <c r="B246" s="145"/>
      <c r="C246" s="145"/>
      <c r="D246" s="145"/>
      <c r="E246" s="145"/>
    </row>
    <row r="247" spans="1:5" x14ac:dyDescent="0.25">
      <c r="A247" s="145"/>
      <c r="B247" s="145"/>
      <c r="C247" s="145"/>
      <c r="D247" s="145"/>
      <c r="E247" s="145"/>
    </row>
    <row r="248" spans="1:5" x14ac:dyDescent="0.25">
      <c r="A248" s="145"/>
      <c r="B248" s="145"/>
      <c r="C248" s="145"/>
      <c r="D248" s="145"/>
      <c r="E248" s="145"/>
    </row>
    <row r="249" spans="1:5" x14ac:dyDescent="0.25">
      <c r="A249" s="145"/>
      <c r="B249" s="145"/>
      <c r="C249" s="145"/>
      <c r="D249" s="145"/>
      <c r="E249" s="145"/>
    </row>
    <row r="250" spans="1:5" x14ac:dyDescent="0.25">
      <c r="A250" s="145"/>
      <c r="B250" s="145"/>
      <c r="C250" s="145"/>
      <c r="D250" s="145"/>
      <c r="E250" s="145"/>
    </row>
    <row r="251" spans="1:5" x14ac:dyDescent="0.25">
      <c r="A251" s="145"/>
      <c r="B251" s="145"/>
      <c r="C251" s="145"/>
      <c r="D251" s="145"/>
      <c r="E251" s="145"/>
    </row>
    <row r="252" spans="1:5" x14ac:dyDescent="0.25">
      <c r="A252" s="145"/>
      <c r="B252" s="145"/>
      <c r="C252" s="145"/>
      <c r="D252" s="145"/>
      <c r="E252" s="145"/>
    </row>
    <row r="253" spans="1:5" x14ac:dyDescent="0.25">
      <c r="A253" s="145"/>
      <c r="B253" s="145"/>
      <c r="C253" s="145"/>
      <c r="D253" s="145"/>
      <c r="E253" s="145"/>
    </row>
    <row r="254" spans="1:5" x14ac:dyDescent="0.25">
      <c r="A254" s="145"/>
      <c r="B254" s="145"/>
      <c r="C254" s="145"/>
      <c r="D254" s="145"/>
      <c r="E254" s="145"/>
    </row>
    <row r="255" spans="1:5" x14ac:dyDescent="0.25">
      <c r="A255" s="145"/>
      <c r="B255" s="145"/>
      <c r="C255" s="145"/>
      <c r="D255" s="145"/>
      <c r="E255" s="145"/>
    </row>
    <row r="256" spans="1:5" x14ac:dyDescent="0.25">
      <c r="A256" s="145"/>
      <c r="B256" s="145"/>
      <c r="C256" s="145"/>
      <c r="D256" s="145"/>
      <c r="E256" s="145"/>
    </row>
    <row r="257" spans="1:5" x14ac:dyDescent="0.25">
      <c r="A257" s="145"/>
      <c r="B257" s="145"/>
      <c r="C257" s="145"/>
      <c r="D257" s="145"/>
      <c r="E257" s="145"/>
    </row>
    <row r="258" spans="1:5" x14ac:dyDescent="0.25">
      <c r="A258" s="145"/>
      <c r="B258" s="145"/>
      <c r="C258" s="145"/>
      <c r="D258" s="145"/>
      <c r="E258" s="145"/>
    </row>
    <row r="259" spans="1:5" x14ac:dyDescent="0.25">
      <c r="A259" s="145"/>
      <c r="B259" s="145"/>
      <c r="C259" s="145"/>
      <c r="D259" s="145"/>
      <c r="E259" s="145"/>
    </row>
    <row r="260" spans="1:5" x14ac:dyDescent="0.25">
      <c r="A260" s="145"/>
      <c r="B260" s="145"/>
      <c r="C260" s="145"/>
      <c r="D260" s="145"/>
      <c r="E260" s="145"/>
    </row>
    <row r="261" spans="1:5" x14ac:dyDescent="0.25">
      <c r="A261" s="145"/>
      <c r="B261" s="145"/>
      <c r="C261" s="145"/>
      <c r="D261" s="145"/>
      <c r="E261" s="145"/>
    </row>
    <row r="262" spans="1:5" x14ac:dyDescent="0.25">
      <c r="A262" s="145"/>
      <c r="B262" s="145"/>
      <c r="C262" s="145"/>
      <c r="D262" s="145"/>
      <c r="E262" s="145"/>
    </row>
    <row r="263" spans="1:5" x14ac:dyDescent="0.25">
      <c r="A263" s="145"/>
      <c r="B263" s="145"/>
      <c r="C263" s="145"/>
      <c r="D263" s="145"/>
      <c r="E263" s="145"/>
    </row>
    <row r="264" spans="1:5" x14ac:dyDescent="0.25">
      <c r="A264" s="145"/>
      <c r="B264" s="145"/>
      <c r="C264" s="145"/>
      <c r="D264" s="145"/>
      <c r="E264" s="145"/>
    </row>
    <row r="265" spans="1:5" x14ac:dyDescent="0.25">
      <c r="A265" s="145"/>
      <c r="B265" s="145"/>
      <c r="C265" s="145"/>
      <c r="D265" s="145"/>
      <c r="E265" s="145"/>
    </row>
    <row r="266" spans="1:5" x14ac:dyDescent="0.25">
      <c r="A266" s="145"/>
      <c r="B266" s="145"/>
      <c r="C266" s="145"/>
      <c r="D266" s="145"/>
      <c r="E266" s="145"/>
    </row>
    <row r="267" spans="1:5" x14ac:dyDescent="0.25">
      <c r="A267" s="145"/>
      <c r="B267" s="145"/>
      <c r="C267" s="145"/>
      <c r="D267" s="145"/>
      <c r="E267" s="145"/>
    </row>
    <row r="268" spans="1:5" x14ac:dyDescent="0.25">
      <c r="A268" s="145"/>
      <c r="B268" s="145"/>
      <c r="C268" s="145"/>
      <c r="D268" s="145"/>
      <c r="E268" s="145"/>
    </row>
    <row r="269" spans="1:5" x14ac:dyDescent="0.25">
      <c r="A269" s="145"/>
      <c r="B269" s="145"/>
      <c r="C269" s="145"/>
      <c r="D269" s="145"/>
      <c r="E269" s="145"/>
    </row>
    <row r="270" spans="1:5" x14ac:dyDescent="0.25">
      <c r="A270" s="145"/>
      <c r="B270" s="145"/>
      <c r="C270" s="145"/>
      <c r="D270" s="145"/>
      <c r="E270" s="145"/>
    </row>
    <row r="271" spans="1:5" x14ac:dyDescent="0.25">
      <c r="A271" s="145"/>
      <c r="B271" s="145"/>
      <c r="C271" s="145"/>
      <c r="D271" s="145"/>
      <c r="E271" s="145"/>
    </row>
    <row r="272" spans="1:5" x14ac:dyDescent="0.25">
      <c r="A272" s="145"/>
      <c r="B272" s="145"/>
      <c r="C272" s="145"/>
      <c r="D272" s="145"/>
      <c r="E272" s="145"/>
    </row>
    <row r="273" spans="1:5" x14ac:dyDescent="0.25">
      <c r="A273" s="145"/>
      <c r="B273" s="145"/>
      <c r="C273" s="145"/>
      <c r="D273" s="145"/>
      <c r="E273" s="145"/>
    </row>
    <row r="274" spans="1:5" x14ac:dyDescent="0.25">
      <c r="A274" s="145"/>
      <c r="B274" s="145"/>
      <c r="C274" s="145"/>
      <c r="D274" s="145"/>
      <c r="E274" s="145"/>
    </row>
    <row r="275" spans="1:5" x14ac:dyDescent="0.25">
      <c r="A275" s="145"/>
      <c r="B275" s="145"/>
      <c r="C275" s="145"/>
      <c r="D275" s="145"/>
      <c r="E275" s="145"/>
    </row>
    <row r="276" spans="1:5" x14ac:dyDescent="0.25">
      <c r="A276" s="145"/>
      <c r="B276" s="145"/>
      <c r="C276" s="145"/>
      <c r="D276" s="145"/>
      <c r="E276" s="145"/>
    </row>
    <row r="277" spans="1:5" x14ac:dyDescent="0.25">
      <c r="A277" s="145"/>
      <c r="B277" s="145"/>
      <c r="C277" s="145"/>
      <c r="D277" s="145"/>
      <c r="E277" s="145"/>
    </row>
    <row r="278" spans="1:5" x14ac:dyDescent="0.25">
      <c r="A278" s="145"/>
      <c r="B278" s="145"/>
      <c r="C278" s="145"/>
      <c r="D278" s="145"/>
      <c r="E278" s="145"/>
    </row>
    <row r="279" spans="1:5" x14ac:dyDescent="0.25">
      <c r="A279" s="145"/>
      <c r="B279" s="145"/>
      <c r="C279" s="145"/>
      <c r="D279" s="145"/>
      <c r="E279" s="145"/>
    </row>
    <row r="280" spans="1:5" x14ac:dyDescent="0.25">
      <c r="A280" s="145"/>
      <c r="B280" s="145"/>
      <c r="C280" s="145"/>
      <c r="D280" s="145"/>
      <c r="E280" s="145"/>
    </row>
    <row r="281" spans="1:5" x14ac:dyDescent="0.25">
      <c r="A281" s="145"/>
      <c r="B281" s="145"/>
      <c r="C281" s="145"/>
      <c r="D281" s="145"/>
      <c r="E281" s="145"/>
    </row>
    <row r="282" spans="1:5" x14ac:dyDescent="0.25">
      <c r="A282" s="145"/>
      <c r="B282" s="145"/>
      <c r="C282" s="145"/>
      <c r="D282" s="145"/>
      <c r="E282" s="145"/>
    </row>
    <row r="283" spans="1:5" x14ac:dyDescent="0.25">
      <c r="A283" s="145"/>
      <c r="B283" s="145"/>
      <c r="C283" s="145"/>
      <c r="D283" s="145"/>
      <c r="E283" s="145"/>
    </row>
    <row r="284" spans="1:5" x14ac:dyDescent="0.25">
      <c r="A284" s="145"/>
      <c r="B284" s="145"/>
      <c r="C284" s="145"/>
      <c r="D284" s="145"/>
      <c r="E284" s="145"/>
    </row>
    <row r="285" spans="1:5" x14ac:dyDescent="0.25">
      <c r="A285" s="145"/>
      <c r="B285" s="145"/>
      <c r="C285" s="145"/>
      <c r="D285" s="145"/>
      <c r="E285" s="145"/>
    </row>
    <row r="286" spans="1:5" x14ac:dyDescent="0.25">
      <c r="A286" s="145"/>
      <c r="B286" s="145"/>
      <c r="C286" s="145"/>
      <c r="D286" s="145"/>
      <c r="E286" s="145"/>
    </row>
    <row r="287" spans="1:5" x14ac:dyDescent="0.25">
      <c r="A287" s="145"/>
      <c r="B287" s="145"/>
      <c r="C287" s="145"/>
      <c r="D287" s="145"/>
      <c r="E287" s="145"/>
    </row>
    <row r="288" spans="1:5" x14ac:dyDescent="0.25">
      <c r="A288" s="145"/>
      <c r="B288" s="145"/>
      <c r="C288" s="145"/>
      <c r="D288" s="145"/>
      <c r="E288" s="145"/>
    </row>
    <row r="289" spans="1:5" x14ac:dyDescent="0.25">
      <c r="A289" s="145"/>
      <c r="B289" s="145"/>
      <c r="C289" s="145"/>
      <c r="D289" s="145"/>
      <c r="E289" s="145"/>
    </row>
    <row r="290" spans="1:5" x14ac:dyDescent="0.25">
      <c r="A290" s="145"/>
      <c r="B290" s="145"/>
      <c r="C290" s="145"/>
      <c r="D290" s="145"/>
      <c r="E290" s="145"/>
    </row>
    <row r="291" spans="1:5" x14ac:dyDescent="0.25">
      <c r="A291" s="145"/>
      <c r="B291" s="145"/>
      <c r="C291" s="145"/>
      <c r="D291" s="145"/>
      <c r="E291" s="145"/>
    </row>
    <row r="292" spans="1:5" x14ac:dyDescent="0.25">
      <c r="A292" s="145"/>
      <c r="B292" s="145"/>
      <c r="C292" s="145"/>
      <c r="D292" s="145"/>
      <c r="E292" s="145"/>
    </row>
    <row r="293" spans="1:5" x14ac:dyDescent="0.25">
      <c r="A293" s="145"/>
      <c r="B293" s="145"/>
      <c r="C293" s="145"/>
      <c r="D293" s="145"/>
      <c r="E293" s="145"/>
    </row>
    <row r="294" spans="1:5" x14ac:dyDescent="0.25">
      <c r="A294" s="145"/>
      <c r="B294" s="145"/>
      <c r="C294" s="145"/>
      <c r="D294" s="145"/>
      <c r="E294" s="145"/>
    </row>
    <row r="295" spans="1:5" x14ac:dyDescent="0.25">
      <c r="A295" s="145"/>
      <c r="B295" s="145"/>
      <c r="C295" s="145"/>
      <c r="D295" s="145"/>
      <c r="E295" s="145"/>
    </row>
    <row r="296" spans="1:5" x14ac:dyDescent="0.25">
      <c r="A296" s="145"/>
      <c r="B296" s="145"/>
      <c r="C296" s="145"/>
      <c r="D296" s="145"/>
      <c r="E296" s="145"/>
    </row>
    <row r="297" spans="1:5" x14ac:dyDescent="0.25">
      <c r="A297" s="145"/>
      <c r="B297" s="145"/>
      <c r="C297" s="145"/>
      <c r="D297" s="145"/>
      <c r="E297" s="145"/>
    </row>
    <row r="298" spans="1:5" x14ac:dyDescent="0.25">
      <c r="A298" s="145"/>
      <c r="B298" s="145"/>
      <c r="C298" s="145"/>
      <c r="D298" s="145"/>
      <c r="E298" s="145"/>
    </row>
    <row r="299" spans="1:5" x14ac:dyDescent="0.25">
      <c r="A299" s="145"/>
      <c r="B299" s="145"/>
      <c r="C299" s="145"/>
      <c r="D299" s="145"/>
      <c r="E299" s="145"/>
    </row>
    <row r="300" spans="1:5" x14ac:dyDescent="0.25">
      <c r="A300" s="145"/>
      <c r="B300" s="145"/>
      <c r="C300" s="145"/>
      <c r="D300" s="145"/>
      <c r="E300" s="145"/>
    </row>
    <row r="301" spans="1:5" x14ac:dyDescent="0.25">
      <c r="A301" s="145"/>
      <c r="B301" s="145"/>
      <c r="C301" s="145"/>
      <c r="D301" s="145"/>
      <c r="E301" s="145"/>
    </row>
    <row r="302" spans="1:5" x14ac:dyDescent="0.25">
      <c r="A302" s="145"/>
      <c r="B302" s="145"/>
      <c r="C302" s="145"/>
      <c r="D302" s="145"/>
      <c r="E302" s="145"/>
    </row>
    <row r="303" spans="1:5" x14ac:dyDescent="0.25">
      <c r="A303" s="145"/>
      <c r="B303" s="145"/>
      <c r="C303" s="145"/>
      <c r="D303" s="145"/>
      <c r="E303" s="145"/>
    </row>
    <row r="304" spans="1:5" x14ac:dyDescent="0.25">
      <c r="A304" s="145"/>
      <c r="B304" s="145"/>
      <c r="C304" s="145"/>
      <c r="D304" s="145"/>
      <c r="E304" s="145"/>
    </row>
    <row r="305" spans="1:5" x14ac:dyDescent="0.25">
      <c r="A305" s="145"/>
      <c r="B305" s="145"/>
      <c r="C305" s="145"/>
      <c r="D305" s="145"/>
      <c r="E305" s="145"/>
    </row>
    <row r="306" spans="1:5" x14ac:dyDescent="0.25">
      <c r="A306" s="145"/>
      <c r="B306" s="145"/>
      <c r="C306" s="145"/>
      <c r="D306" s="145"/>
      <c r="E306" s="145"/>
    </row>
    <row r="307" spans="1:5" x14ac:dyDescent="0.25">
      <c r="A307" s="145"/>
      <c r="B307" s="145"/>
      <c r="C307" s="145"/>
      <c r="D307" s="145"/>
      <c r="E307" s="145"/>
    </row>
    <row r="308" spans="1:5" x14ac:dyDescent="0.25">
      <c r="A308" s="145"/>
      <c r="B308" s="145"/>
      <c r="C308" s="145"/>
      <c r="D308" s="145"/>
      <c r="E308" s="145"/>
    </row>
    <row r="309" spans="1:5" x14ac:dyDescent="0.25">
      <c r="A309" s="145"/>
      <c r="B309" s="145"/>
      <c r="C309" s="145"/>
      <c r="D309" s="145"/>
      <c r="E309" s="145"/>
    </row>
    <row r="310" spans="1:5" x14ac:dyDescent="0.25">
      <c r="A310" s="145"/>
      <c r="B310" s="145"/>
      <c r="C310" s="145"/>
      <c r="D310" s="145"/>
      <c r="E310" s="145"/>
    </row>
    <row r="311" spans="1:5" x14ac:dyDescent="0.25">
      <c r="A311" s="145"/>
      <c r="B311" s="145"/>
      <c r="C311" s="145"/>
      <c r="D311" s="145"/>
      <c r="E311" s="145"/>
    </row>
    <row r="312" spans="1:5" x14ac:dyDescent="0.25">
      <c r="A312" s="145"/>
      <c r="B312" s="145"/>
      <c r="C312" s="145"/>
      <c r="D312" s="145"/>
      <c r="E312" s="145"/>
    </row>
    <row r="313" spans="1:5" x14ac:dyDescent="0.25">
      <c r="A313" s="145"/>
      <c r="B313" s="145"/>
      <c r="C313" s="145"/>
      <c r="D313" s="145"/>
      <c r="E313" s="145"/>
    </row>
    <row r="314" spans="1:5" x14ac:dyDescent="0.25">
      <c r="A314" s="145"/>
      <c r="B314" s="145"/>
      <c r="C314" s="145"/>
      <c r="D314" s="145"/>
      <c r="E314" s="145"/>
    </row>
    <row r="315" spans="1:5" x14ac:dyDescent="0.25">
      <c r="A315" s="145"/>
      <c r="B315" s="145"/>
      <c r="C315" s="145"/>
      <c r="D315" s="145"/>
      <c r="E315" s="145"/>
    </row>
    <row r="316" spans="1:5" x14ac:dyDescent="0.25">
      <c r="A316" s="145"/>
      <c r="B316" s="145"/>
      <c r="C316" s="145"/>
      <c r="D316" s="145"/>
      <c r="E316" s="145"/>
    </row>
    <row r="317" spans="1:5" x14ac:dyDescent="0.25">
      <c r="A317" s="145"/>
      <c r="B317" s="145"/>
      <c r="C317" s="145"/>
      <c r="D317" s="145"/>
      <c r="E317" s="145"/>
    </row>
  </sheetData>
  <autoFilter ref="D3:E3" xr:uid="{00000000-0009-0000-0000-00000F000000}"/>
  <mergeCells count="2">
    <mergeCell ref="A66:F67"/>
    <mergeCell ref="A69:F69"/>
  </mergeCells>
  <phoneticPr fontId="73" type="noConversion"/>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
  <dimension ref="A3:L201"/>
  <sheetViews>
    <sheetView workbookViewId="0">
      <selection activeCell="H1" sqref="H1"/>
    </sheetView>
  </sheetViews>
  <sheetFormatPr baseColWidth="10" defaultRowHeight="15" x14ac:dyDescent="0.25"/>
  <cols>
    <col min="1" max="1" width="32.140625" style="327" bestFit="1" customWidth="1"/>
    <col min="2" max="2" width="44" style="83" bestFit="1" customWidth="1"/>
    <col min="3" max="3" width="13.140625" style="20" hidden="1" customWidth="1"/>
    <col min="4" max="4" width="15.140625" style="20" bestFit="1" customWidth="1"/>
    <col min="5" max="5" width="13.140625" style="20" hidden="1" customWidth="1"/>
    <col min="6" max="6" width="15.140625" style="20" bestFit="1" customWidth="1"/>
    <col min="7" max="7" width="13.140625" style="20" hidden="1" customWidth="1"/>
    <col min="8" max="8" width="15.140625" style="20" bestFit="1" customWidth="1"/>
    <col min="9" max="9" width="13.140625" style="20" hidden="1" customWidth="1"/>
    <col min="10" max="10" width="15.140625" style="20" bestFit="1" customWidth="1"/>
    <col min="11" max="11" width="13.140625" style="20" hidden="1" customWidth="1"/>
    <col min="12" max="12" width="15.140625" style="20" bestFit="1" customWidth="1"/>
    <col min="13" max="16384" width="11.42578125" style="327"/>
  </cols>
  <sheetData>
    <row r="3" spans="1:12" ht="33" x14ac:dyDescent="0.25">
      <c r="A3" s="329" t="s">
        <v>93</v>
      </c>
      <c r="B3" s="329" t="s">
        <v>99</v>
      </c>
      <c r="C3" s="276" t="s">
        <v>109</v>
      </c>
      <c r="D3" s="276" t="s">
        <v>114</v>
      </c>
      <c r="E3" s="277" t="s">
        <v>110</v>
      </c>
      <c r="F3" s="277" t="s">
        <v>115</v>
      </c>
      <c r="G3" s="16" t="s">
        <v>111</v>
      </c>
      <c r="H3" s="16" t="s">
        <v>116</v>
      </c>
      <c r="I3" s="17" t="s">
        <v>113</v>
      </c>
      <c r="J3" s="17" t="s">
        <v>117</v>
      </c>
      <c r="K3" s="18" t="s">
        <v>112</v>
      </c>
      <c r="L3" s="18" t="s">
        <v>118</v>
      </c>
    </row>
    <row r="4" spans="1:12" x14ac:dyDescent="0.25">
      <c r="A4" s="74" t="s">
        <v>3</v>
      </c>
      <c r="B4" s="330" t="s">
        <v>203</v>
      </c>
      <c r="C4" s="331">
        <v>4.1428571428571433E-2</v>
      </c>
      <c r="D4" s="331">
        <v>5.4809516666666669E-2</v>
      </c>
      <c r="E4" s="331">
        <v>5.1785714285714289E-2</v>
      </c>
      <c r="F4" s="331">
        <v>6.8511895833333336E-2</v>
      </c>
      <c r="G4" s="331">
        <v>6.2142857142857146E-2</v>
      </c>
      <c r="H4" s="331">
        <v>8.2214275000000003E-2</v>
      </c>
      <c r="I4" s="331">
        <v>7.2499999999999995E-2</v>
      </c>
      <c r="J4" s="331">
        <v>9.5916654166666657E-2</v>
      </c>
      <c r="K4" s="331">
        <v>8.2857142857142865E-2</v>
      </c>
      <c r="L4" s="331">
        <v>0.10961903333333334</v>
      </c>
    </row>
    <row r="5" spans="1:12" x14ac:dyDescent="0.25">
      <c r="A5" s="75" t="s">
        <v>3</v>
      </c>
      <c r="B5" s="77" t="s">
        <v>199</v>
      </c>
      <c r="C5" s="21">
        <v>4.8031274739990908E-2</v>
      </c>
      <c r="D5" s="21">
        <v>6.3544816116135994E-2</v>
      </c>
      <c r="E5" s="21">
        <v>6.0039093424988636E-2</v>
      </c>
      <c r="F5" s="21">
        <v>7.943102014517002E-2</v>
      </c>
      <c r="G5" s="21">
        <v>7.2046912109986358E-2</v>
      </c>
      <c r="H5" s="21">
        <v>9.5317224174204004E-2</v>
      </c>
      <c r="I5" s="21">
        <v>8.4054730794984087E-2</v>
      </c>
      <c r="J5" s="21">
        <v>0.111203428203238</v>
      </c>
      <c r="K5" s="21">
        <v>9.6062549479981815E-2</v>
      </c>
      <c r="L5" s="21">
        <v>0.12708963223227199</v>
      </c>
    </row>
    <row r="6" spans="1:12" x14ac:dyDescent="0.25">
      <c r="A6" s="73" t="s">
        <v>167</v>
      </c>
      <c r="B6" s="77" t="s">
        <v>199</v>
      </c>
      <c r="C6" s="21">
        <v>0.16582986056660684</v>
      </c>
      <c r="D6" s="21">
        <v>0.21939097084791426</v>
      </c>
      <c r="E6" s="21">
        <v>0.20728732570825856</v>
      </c>
      <c r="F6" s="21">
        <v>0.27423871355989282</v>
      </c>
      <c r="G6" s="21">
        <v>0.24874479084991025</v>
      </c>
      <c r="H6" s="21">
        <v>0.32908645627187133</v>
      </c>
      <c r="I6" s="21">
        <v>0.29020225599156196</v>
      </c>
      <c r="J6" s="21">
        <v>0.38393419898384989</v>
      </c>
      <c r="K6" s="21">
        <v>0.33165972113321368</v>
      </c>
      <c r="L6" s="21">
        <v>0.43878194169582851</v>
      </c>
    </row>
    <row r="7" spans="1:12" x14ac:dyDescent="0.25">
      <c r="A7" s="73" t="s">
        <v>4</v>
      </c>
      <c r="B7" s="77" t="s">
        <v>199</v>
      </c>
      <c r="C7" s="21">
        <v>1.3848916202570057E-2</v>
      </c>
      <c r="D7" s="21">
        <v>3.0548862620709202E-2</v>
      </c>
      <c r="E7" s="21">
        <v>1.7311145253212572E-2</v>
      </c>
      <c r="F7" s="21">
        <v>3.8186078275886506E-2</v>
      </c>
      <c r="G7" s="21">
        <v>2.0773374303855088E-2</v>
      </c>
      <c r="H7" s="21">
        <v>4.582329393106381E-2</v>
      </c>
      <c r="I7" s="21">
        <v>2.4235603354497599E-2</v>
      </c>
      <c r="J7" s="21">
        <v>5.3460509586241108E-2</v>
      </c>
      <c r="K7" s="21">
        <v>2.7697832405140115E-2</v>
      </c>
      <c r="L7" s="21">
        <v>6.1097725241418405E-2</v>
      </c>
    </row>
    <row r="8" spans="1:12" x14ac:dyDescent="0.25">
      <c r="A8" s="73" t="s">
        <v>141</v>
      </c>
      <c r="B8" s="77" t="s">
        <v>199</v>
      </c>
      <c r="C8" s="21">
        <v>5.0088755536270436E-2</v>
      </c>
      <c r="D8" s="21">
        <v>0.14975536130234138</v>
      </c>
      <c r="E8" s="21">
        <v>6.2610944420338044E-2</v>
      </c>
      <c r="F8" s="21">
        <v>0.18719420162792669</v>
      </c>
      <c r="G8" s="21">
        <v>7.5133133304405658E-2</v>
      </c>
      <c r="H8" s="21">
        <v>0.22463304195351205</v>
      </c>
      <c r="I8" s="21">
        <v>8.7655322188473273E-2</v>
      </c>
      <c r="J8" s="21">
        <v>0.26207188227909739</v>
      </c>
      <c r="K8" s="21">
        <v>0.10017751107254087</v>
      </c>
      <c r="L8" s="21">
        <v>0.29951072260468276</v>
      </c>
    </row>
    <row r="9" spans="1:12" x14ac:dyDescent="0.25">
      <c r="A9" s="2" t="s">
        <v>5</v>
      </c>
      <c r="B9" s="79"/>
      <c r="C9" s="21"/>
      <c r="D9" s="21"/>
      <c r="E9" s="21"/>
      <c r="F9" s="21"/>
      <c r="G9" s="21"/>
      <c r="H9" s="21"/>
      <c r="I9" s="21"/>
      <c r="J9" s="21"/>
      <c r="K9" s="21"/>
      <c r="L9" s="21"/>
    </row>
    <row r="10" spans="1:12" x14ac:dyDescent="0.25">
      <c r="A10" s="74" t="s">
        <v>6</v>
      </c>
      <c r="B10" s="330" t="s">
        <v>203</v>
      </c>
      <c r="C10" s="21">
        <v>2.4235603354497599E-2</v>
      </c>
      <c r="D10" s="21">
        <v>4.3252439999999996E-2</v>
      </c>
      <c r="E10" s="21">
        <v>6.0999999999999999E-2</v>
      </c>
      <c r="F10" s="21">
        <v>0.12563804000000001</v>
      </c>
      <c r="G10" s="21">
        <v>0.112</v>
      </c>
      <c r="H10" s="21">
        <v>0.23067968000000003</v>
      </c>
      <c r="I10" s="21">
        <v>0.17499999999999999</v>
      </c>
      <c r="J10" s="21">
        <v>0.36043700000000001</v>
      </c>
      <c r="K10" s="331">
        <v>0.246</v>
      </c>
      <c r="L10" s="21">
        <v>0.50667143999999997</v>
      </c>
    </row>
    <row r="11" spans="1:12" x14ac:dyDescent="0.25">
      <c r="A11" s="75" t="s">
        <v>6</v>
      </c>
      <c r="B11" s="77" t="s">
        <v>199</v>
      </c>
      <c r="C11" s="21">
        <v>3.1447806237851809E-2</v>
      </c>
      <c r="D11" s="21">
        <v>6.4771159639729098E-2</v>
      </c>
      <c r="E11" s="21">
        <v>3.9309757797314764E-2</v>
      </c>
      <c r="F11" s="21">
        <v>8.0963949549661379E-2</v>
      </c>
      <c r="G11" s="21">
        <v>4.7171709356777711E-2</v>
      </c>
      <c r="H11" s="21">
        <v>9.7156739459593647E-2</v>
      </c>
      <c r="I11" s="21">
        <v>5.5033660916240665E-2</v>
      </c>
      <c r="J11" s="21">
        <v>0.11334952936952593</v>
      </c>
      <c r="K11" s="21">
        <v>6.2895612475703619E-2</v>
      </c>
      <c r="L11" s="21">
        <v>0.1295423192794582</v>
      </c>
    </row>
    <row r="12" spans="1:12" x14ac:dyDescent="0.25">
      <c r="A12" s="2" t="s">
        <v>7</v>
      </c>
      <c r="B12" s="79"/>
      <c r="C12" s="21"/>
      <c r="D12" s="21"/>
      <c r="E12" s="21"/>
      <c r="F12" s="21"/>
      <c r="G12" s="21"/>
      <c r="H12" s="21"/>
      <c r="I12" s="21"/>
      <c r="J12" s="21"/>
      <c r="K12" s="21"/>
      <c r="L12" s="21"/>
    </row>
    <row r="13" spans="1:12" x14ac:dyDescent="0.25">
      <c r="A13" s="75" t="s">
        <v>8</v>
      </c>
      <c r="B13" s="77" t="s">
        <v>199</v>
      </c>
      <c r="C13" s="21">
        <v>3.0717644461124231E-2</v>
      </c>
      <c r="D13" s="21">
        <v>5.9604517312365456E-2</v>
      </c>
      <c r="E13" s="21">
        <v>3.8397055576405291E-2</v>
      </c>
      <c r="F13" s="21">
        <v>7.4505646640456821E-2</v>
      </c>
      <c r="G13" s="21">
        <v>4.6076466691686351E-2</v>
      </c>
      <c r="H13" s="21">
        <v>8.9406775968548208E-2</v>
      </c>
      <c r="I13" s="21">
        <v>5.375587780696741E-2</v>
      </c>
      <c r="J13" s="21">
        <v>0.10430790529663955</v>
      </c>
      <c r="K13" s="21">
        <v>6.1435288922248463E-2</v>
      </c>
      <c r="L13" s="21">
        <v>0.11920903462473091</v>
      </c>
    </row>
    <row r="14" spans="1:12" x14ac:dyDescent="0.25">
      <c r="A14" s="31" t="s">
        <v>2</v>
      </c>
      <c r="B14" s="330" t="s">
        <v>203</v>
      </c>
      <c r="C14" s="21">
        <v>1.0999999999999999E-2</v>
      </c>
      <c r="D14" s="21">
        <v>2.2141386666666665E-2</v>
      </c>
      <c r="E14" s="21">
        <v>0.04</v>
      </c>
      <c r="F14" s="21">
        <v>8.0514133333333335E-2</v>
      </c>
      <c r="G14" s="21">
        <v>7.3999999999999996E-2</v>
      </c>
      <c r="H14" s="21">
        <v>0.14895114666666667</v>
      </c>
      <c r="I14" s="21">
        <v>0.112</v>
      </c>
      <c r="J14" s="21">
        <v>0.22543957333333331</v>
      </c>
      <c r="K14" s="331">
        <v>0.151</v>
      </c>
      <c r="L14" s="21">
        <v>0.30394085333333332</v>
      </c>
    </row>
    <row r="15" spans="1:12" x14ac:dyDescent="0.25">
      <c r="A15" s="30" t="s">
        <v>2</v>
      </c>
      <c r="B15" s="128" t="s">
        <v>227</v>
      </c>
      <c r="C15" s="21"/>
      <c r="D15" s="21">
        <v>4.3707006369426753E-2</v>
      </c>
      <c r="E15" s="21"/>
      <c r="F15" s="21">
        <v>7.9045013883379617E-2</v>
      </c>
      <c r="G15" s="21"/>
      <c r="H15" s="21">
        <v>0.13044307692307691</v>
      </c>
      <c r="I15" s="21"/>
      <c r="J15" s="21">
        <v>0.2005983526734926</v>
      </c>
      <c r="K15" s="331"/>
      <c r="L15" s="21">
        <v>0.28954389370306183</v>
      </c>
    </row>
    <row r="16" spans="1:12" x14ac:dyDescent="0.25">
      <c r="A16" s="75" t="s">
        <v>2</v>
      </c>
      <c r="B16" s="77" t="s">
        <v>199</v>
      </c>
      <c r="C16" s="21">
        <v>3.0940271672411278E-2</v>
      </c>
      <c r="D16" s="21">
        <v>6.2278228970051946E-2</v>
      </c>
      <c r="E16" s="21">
        <v>3.8675339590514099E-2</v>
      </c>
      <c r="F16" s="21">
        <v>7.784778621256494E-2</v>
      </c>
      <c r="G16" s="21">
        <v>4.6410407508616913E-2</v>
      </c>
      <c r="H16" s="21">
        <v>9.3417343455077906E-2</v>
      </c>
      <c r="I16" s="21">
        <v>5.4145475426719734E-2</v>
      </c>
      <c r="J16" s="21">
        <v>0.1089869006975909</v>
      </c>
      <c r="K16" s="21">
        <v>6.1880543344822556E-2</v>
      </c>
      <c r="L16" s="21">
        <v>0.12455645794010389</v>
      </c>
    </row>
    <row r="17" spans="1:12" x14ac:dyDescent="0.25">
      <c r="A17" s="125" t="s">
        <v>2</v>
      </c>
      <c r="B17" s="129" t="s">
        <v>230</v>
      </c>
      <c r="C17" s="21"/>
      <c r="D17" s="21">
        <v>5.5384426799168551E-2</v>
      </c>
      <c r="E17" s="21"/>
      <c r="F17" s="21">
        <v>9.2649280417025512E-2</v>
      </c>
      <c r="G17" s="21"/>
      <c r="H17" s="21">
        <v>0.14159152880542167</v>
      </c>
      <c r="I17" s="21"/>
      <c r="J17" s="21">
        <v>0.20846959774569435</v>
      </c>
      <c r="K17" s="21"/>
      <c r="L17" s="21">
        <v>0.29232713581836017</v>
      </c>
    </row>
    <row r="18" spans="1:12" x14ac:dyDescent="0.25">
      <c r="A18" s="2" t="s">
        <v>9</v>
      </c>
      <c r="B18" s="79"/>
      <c r="C18" s="21"/>
      <c r="D18" s="21"/>
      <c r="E18" s="21"/>
      <c r="F18" s="21"/>
      <c r="G18" s="21"/>
      <c r="H18" s="21"/>
      <c r="I18" s="21"/>
      <c r="J18" s="21"/>
      <c r="K18" s="21"/>
      <c r="L18" s="21"/>
    </row>
    <row r="19" spans="1:12" x14ac:dyDescent="0.25">
      <c r="A19" s="23" t="s">
        <v>10</v>
      </c>
      <c r="B19" s="330" t="s">
        <v>203</v>
      </c>
      <c r="C19" s="21">
        <v>8.5999999999999993E-2</v>
      </c>
      <c r="D19" s="21">
        <v>0.20894774999999999</v>
      </c>
      <c r="E19" s="21">
        <v>0.1075</v>
      </c>
      <c r="F19" s="21">
        <v>0.26118468749999996</v>
      </c>
      <c r="G19" s="21">
        <v>0.129</v>
      </c>
      <c r="H19" s="21">
        <v>0.31342162499999998</v>
      </c>
      <c r="I19" s="21">
        <v>0.19950000000000001</v>
      </c>
      <c r="J19" s="21">
        <v>0.4847101875</v>
      </c>
      <c r="K19" s="21">
        <v>0.22800000000000001</v>
      </c>
      <c r="L19" s="21">
        <v>0.55395450000000002</v>
      </c>
    </row>
    <row r="20" spans="1:12" x14ac:dyDescent="0.25">
      <c r="A20" s="75" t="s">
        <v>10</v>
      </c>
      <c r="B20" s="77" t="s">
        <v>199</v>
      </c>
      <c r="C20" s="21">
        <v>5.1085313145785793E-2</v>
      </c>
      <c r="D20" s="21">
        <v>0.1241181539518298</v>
      </c>
      <c r="E20" s="21">
        <v>6.3856641432232242E-2</v>
      </c>
      <c r="F20" s="21">
        <v>0.15514769243978724</v>
      </c>
      <c r="G20" s="21">
        <v>7.662796971867869E-2</v>
      </c>
      <c r="H20" s="21">
        <v>0.18617723092774471</v>
      </c>
      <c r="I20" s="21">
        <v>8.9399298005125138E-2</v>
      </c>
      <c r="J20" s="21">
        <v>0.21720676941570213</v>
      </c>
      <c r="K20" s="21">
        <v>0.10217062629157159</v>
      </c>
      <c r="L20" s="21">
        <v>0.24823630790365961</v>
      </c>
    </row>
    <row r="21" spans="1:12" x14ac:dyDescent="0.25">
      <c r="A21" s="332" t="s">
        <v>157</v>
      </c>
      <c r="B21" s="77" t="s">
        <v>199</v>
      </c>
      <c r="C21" s="21">
        <v>1.4595690686994803E-2</v>
      </c>
      <c r="D21" s="21">
        <v>6.1960458449175387E-2</v>
      </c>
      <c r="E21" s="21">
        <v>1.8244613358743503E-2</v>
      </c>
      <c r="F21" s="21">
        <v>7.7450573061469213E-2</v>
      </c>
      <c r="G21" s="21">
        <v>2.1893536030492204E-2</v>
      </c>
      <c r="H21" s="21">
        <v>9.2940687673763067E-2</v>
      </c>
      <c r="I21" s="21">
        <v>2.5542458702240905E-2</v>
      </c>
      <c r="J21" s="21">
        <v>0.10843080228605692</v>
      </c>
      <c r="K21" s="21">
        <v>2.9191381373989606E-2</v>
      </c>
      <c r="L21" s="21">
        <v>0.12392091689835077</v>
      </c>
    </row>
    <row r="22" spans="1:12" x14ac:dyDescent="0.25">
      <c r="A22" s="2" t="s">
        <v>11</v>
      </c>
      <c r="B22" s="79"/>
      <c r="C22" s="21"/>
      <c r="D22" s="21"/>
      <c r="E22" s="21"/>
      <c r="F22" s="21"/>
      <c r="G22" s="21"/>
      <c r="H22" s="21"/>
      <c r="I22" s="21"/>
      <c r="J22" s="21"/>
      <c r="K22" s="21"/>
      <c r="L22" s="21"/>
    </row>
    <row r="23" spans="1:12" x14ac:dyDescent="0.25">
      <c r="A23" s="2" t="s">
        <v>12</v>
      </c>
      <c r="B23" s="79"/>
      <c r="C23" s="21"/>
      <c r="D23" s="21"/>
      <c r="E23" s="21"/>
      <c r="F23" s="21"/>
      <c r="G23" s="21"/>
      <c r="H23" s="21"/>
      <c r="I23" s="21"/>
      <c r="J23" s="21"/>
      <c r="K23" s="21"/>
      <c r="L23" s="21"/>
    </row>
    <row r="24" spans="1:12" x14ac:dyDescent="0.25">
      <c r="A24" s="332" t="s">
        <v>13</v>
      </c>
      <c r="B24" s="77" t="s">
        <v>199</v>
      </c>
      <c r="C24" s="21">
        <v>7.0330285525162482E-3</v>
      </c>
      <c r="D24" s="21">
        <v>7.2902029632532592E-3</v>
      </c>
      <c r="E24" s="21">
        <v>8.7912856906453094E-3</v>
      </c>
      <c r="F24" s="21">
        <v>9.1127537040665719E-3</v>
      </c>
      <c r="G24" s="21">
        <v>1.0549542828774372E-2</v>
      </c>
      <c r="H24" s="21">
        <v>1.0935304444879886E-2</v>
      </c>
      <c r="I24" s="21">
        <v>1.2307799966903434E-2</v>
      </c>
      <c r="J24" s="21">
        <v>1.2757855185693201E-2</v>
      </c>
      <c r="K24" s="21">
        <v>1.4066057105032496E-2</v>
      </c>
      <c r="L24" s="21">
        <v>1.4580405926506518E-2</v>
      </c>
    </row>
    <row r="25" spans="1:12" x14ac:dyDescent="0.25">
      <c r="A25" s="2" t="s">
        <v>14</v>
      </c>
      <c r="B25" s="79"/>
      <c r="C25" s="21"/>
      <c r="D25" s="21"/>
      <c r="E25" s="21"/>
      <c r="F25" s="21"/>
      <c r="G25" s="21"/>
      <c r="H25" s="21"/>
      <c r="I25" s="21"/>
      <c r="J25" s="21"/>
      <c r="K25" s="21"/>
      <c r="L25" s="21"/>
    </row>
    <row r="26" spans="1:12" x14ac:dyDescent="0.25">
      <c r="A26" s="332" t="s">
        <v>15</v>
      </c>
      <c r="B26" s="77" t="s">
        <v>199</v>
      </c>
      <c r="C26" s="21">
        <v>3.5519916783877857E-2</v>
      </c>
      <c r="D26" s="21">
        <v>7.8352200436330038E-2</v>
      </c>
      <c r="E26" s="21">
        <v>4.4399895979847323E-2</v>
      </c>
      <c r="F26" s="21">
        <v>9.7940250545412541E-2</v>
      </c>
      <c r="G26" s="21">
        <v>5.3279875175816782E-2</v>
      </c>
      <c r="H26" s="21">
        <v>0.11752830065449504</v>
      </c>
      <c r="I26" s="21">
        <v>6.2159854371786248E-2</v>
      </c>
      <c r="J26" s="21">
        <v>0.13711635076357756</v>
      </c>
      <c r="K26" s="21">
        <v>7.1039833567755714E-2</v>
      </c>
      <c r="L26" s="21">
        <v>0.15670440087266008</v>
      </c>
    </row>
    <row r="27" spans="1:12" x14ac:dyDescent="0.25">
      <c r="A27" s="332" t="s">
        <v>17</v>
      </c>
      <c r="B27" s="77" t="s">
        <v>199</v>
      </c>
      <c r="C27" s="21">
        <v>0.13780596631208833</v>
      </c>
      <c r="D27" s="21">
        <v>0.26739869703197616</v>
      </c>
      <c r="E27" s="21">
        <v>0.23625044309191207</v>
      </c>
      <c r="F27" s="21">
        <v>0.45842035977554618</v>
      </c>
      <c r="G27" s="21">
        <v>0.31672869557299338</v>
      </c>
      <c r="H27" s="21">
        <v>0.61458036088983636</v>
      </c>
      <c r="I27" s="21">
        <v>0.46409651535326579</v>
      </c>
      <c r="J27" s="21">
        <v>0.900532878391477</v>
      </c>
      <c r="K27" s="21">
        <v>0.54009296361673664</v>
      </c>
      <c r="L27" s="21">
        <v>1.0479963866019157</v>
      </c>
    </row>
    <row r="28" spans="1:12" x14ac:dyDescent="0.25">
      <c r="A28" s="2" t="s">
        <v>18</v>
      </c>
      <c r="B28" s="79"/>
      <c r="C28" s="21"/>
      <c r="D28" s="21"/>
      <c r="E28" s="21"/>
      <c r="F28" s="21"/>
      <c r="G28" s="21"/>
      <c r="H28" s="21"/>
      <c r="I28" s="21"/>
      <c r="J28" s="21"/>
      <c r="K28" s="21"/>
      <c r="L28" s="21"/>
    </row>
    <row r="29" spans="1:12" x14ac:dyDescent="0.25">
      <c r="A29" s="2" t="s">
        <v>19</v>
      </c>
      <c r="B29" s="79"/>
      <c r="C29" s="21"/>
      <c r="D29" s="21"/>
      <c r="E29" s="21"/>
      <c r="F29" s="21"/>
      <c r="G29" s="21"/>
      <c r="H29" s="21"/>
      <c r="I29" s="21"/>
      <c r="J29" s="21"/>
      <c r="K29" s="21"/>
      <c r="L29" s="21"/>
    </row>
    <row r="30" spans="1:12" x14ac:dyDescent="0.25">
      <c r="A30" s="2" t="s">
        <v>20</v>
      </c>
      <c r="B30" s="79"/>
      <c r="C30" s="21"/>
      <c r="D30" s="21"/>
      <c r="E30" s="21"/>
      <c r="F30" s="21"/>
      <c r="G30" s="21"/>
      <c r="H30" s="21"/>
      <c r="I30" s="21"/>
      <c r="J30" s="21"/>
      <c r="K30" s="21"/>
      <c r="L30" s="21"/>
    </row>
    <row r="31" spans="1:12" x14ac:dyDescent="0.25">
      <c r="A31" s="332" t="s">
        <v>21</v>
      </c>
      <c r="B31" s="77" t="s">
        <v>199</v>
      </c>
      <c r="C31" s="21">
        <v>2.1782229937322616E-2</v>
      </c>
      <c r="D31" s="21">
        <v>4.2905184381875593E-2</v>
      </c>
      <c r="E31" s="21">
        <v>5.6877202471395945E-2</v>
      </c>
      <c r="F31" s="21">
        <v>0.11203292161465764</v>
      </c>
      <c r="G31" s="21">
        <v>0.10415920175927618</v>
      </c>
      <c r="H31" s="21">
        <v>0.20516585167863827</v>
      </c>
      <c r="I31" s="21">
        <v>0.17662290093811014</v>
      </c>
      <c r="J31" s="21">
        <v>0.34790001540782683</v>
      </c>
      <c r="K31" s="21">
        <v>0.20185474392926872</v>
      </c>
      <c r="L31" s="21">
        <v>0.39760001760894487</v>
      </c>
    </row>
    <row r="32" spans="1:12" x14ac:dyDescent="0.25">
      <c r="A32" s="31" t="s">
        <v>22</v>
      </c>
      <c r="B32" s="330" t="s">
        <v>203</v>
      </c>
      <c r="C32" s="21">
        <v>0.125</v>
      </c>
      <c r="D32" s="21">
        <v>0.32874187500000002</v>
      </c>
      <c r="E32" s="21">
        <v>0.23599999999999999</v>
      </c>
      <c r="F32" s="21">
        <v>0.62066466000000009</v>
      </c>
      <c r="G32" s="21">
        <v>0.379</v>
      </c>
      <c r="H32" s="21">
        <v>0.99674536500000011</v>
      </c>
      <c r="I32" s="21">
        <v>0.55600000000000005</v>
      </c>
      <c r="J32" s="21">
        <v>1.4622438600000003</v>
      </c>
      <c r="K32" s="331">
        <v>0.79100000000000004</v>
      </c>
      <c r="L32" s="21">
        <v>2.0802785849999998</v>
      </c>
    </row>
    <row r="33" spans="1:12" x14ac:dyDescent="0.25">
      <c r="A33" s="85" t="s">
        <v>22</v>
      </c>
      <c r="B33" s="77" t="s">
        <v>199</v>
      </c>
      <c r="C33" s="21">
        <v>0.15392749325002175</v>
      </c>
      <c r="D33" s="21">
        <v>0.40481930196049593</v>
      </c>
      <c r="E33" s="21">
        <v>0.37893651576316562</v>
      </c>
      <c r="F33" s="21">
        <v>0.99657840558360089</v>
      </c>
      <c r="G33" s="21">
        <v>0.59538658646021636</v>
      </c>
      <c r="H33" s="21">
        <v>1.5658280222622489</v>
      </c>
      <c r="I33" s="21">
        <v>0.84971838900000141</v>
      </c>
      <c r="J33" s="21">
        <v>2.2347041313747185</v>
      </c>
      <c r="K33" s="21">
        <v>1.3428742516056231</v>
      </c>
      <c r="L33" s="21">
        <v>3.5316719948964348</v>
      </c>
    </row>
    <row r="34" spans="1:12" x14ac:dyDescent="0.25">
      <c r="A34" s="31" t="s">
        <v>23</v>
      </c>
      <c r="B34" s="330" t="s">
        <v>203</v>
      </c>
      <c r="C34" s="21">
        <v>0.20599999999999999</v>
      </c>
      <c r="D34" s="21">
        <v>0.54176661000000004</v>
      </c>
      <c r="E34" s="21">
        <v>0.41299999999999998</v>
      </c>
      <c r="F34" s="21">
        <v>1.0861631549999999</v>
      </c>
      <c r="G34" s="21">
        <v>0.69499999999999995</v>
      </c>
      <c r="H34" s="21">
        <v>1.8278048250000001</v>
      </c>
      <c r="I34" s="21">
        <v>1.06</v>
      </c>
      <c r="J34" s="21">
        <v>2.7877310999999998</v>
      </c>
      <c r="K34" s="331">
        <v>1.516</v>
      </c>
      <c r="L34" s="21">
        <v>3.9869814600000004</v>
      </c>
    </row>
    <row r="35" spans="1:12" x14ac:dyDescent="0.25">
      <c r="A35" s="85" t="s">
        <v>23</v>
      </c>
      <c r="B35" s="77" t="s">
        <v>199</v>
      </c>
      <c r="C35" s="21">
        <v>0.21657651092854194</v>
      </c>
      <c r="D35" s="21">
        <v>0.56958214626885495</v>
      </c>
      <c r="E35" s="21">
        <v>0.52885328240384577</v>
      </c>
      <c r="F35" s="21">
        <v>1.3908497572587581</v>
      </c>
      <c r="G35" s="21">
        <v>0.77421299017539003</v>
      </c>
      <c r="H35" s="21">
        <v>2.0361298403169146</v>
      </c>
      <c r="I35" s="21">
        <v>1.139698442797263</v>
      </c>
      <c r="J35" s="21">
        <v>2.9973328241580197</v>
      </c>
      <c r="K35" s="21">
        <v>1.8531260035092387</v>
      </c>
      <c r="L35" s="21">
        <v>4.8736009360390691</v>
      </c>
    </row>
    <row r="36" spans="1:12" x14ac:dyDescent="0.25">
      <c r="A36" s="30" t="s">
        <v>24</v>
      </c>
      <c r="B36" s="80" t="s">
        <v>95</v>
      </c>
      <c r="C36" s="21">
        <v>8.8111193844626467E-3</v>
      </c>
      <c r="D36" s="21">
        <f>'Total especies y métodos'!D34</f>
        <v>3.769774343225004E-3</v>
      </c>
      <c r="E36" s="21">
        <f>'Total especies y métodos'!E34</f>
        <v>4.2000000000000003E-2</v>
      </c>
      <c r="F36" s="21">
        <f>'Total especies y métodos'!F34</f>
        <v>2.2674170139378728E-2</v>
      </c>
      <c r="G36" s="21">
        <f>'Total especies y métodos'!G34</f>
        <v>4.8687782805429861E-2</v>
      </c>
      <c r="H36" s="21">
        <f>'Total especies y métodos'!H34</f>
        <v>2.720900416725448E-2</v>
      </c>
      <c r="I36" s="21">
        <f>'Total especies y métodos'!I34</f>
        <v>0.15</v>
      </c>
      <c r="J36" s="21">
        <f>'Total especies y métodos'!J34</f>
        <v>6.9703150798753E-2</v>
      </c>
      <c r="K36" s="21">
        <f>'Total especies y métodos'!K34</f>
        <v>0.13102971665514859</v>
      </c>
      <c r="L36" s="21">
        <f>'Total especies y métodos'!L34</f>
        <v>0.22629552729785765</v>
      </c>
    </row>
    <row r="37" spans="1:12" x14ac:dyDescent="0.25">
      <c r="A37" s="31" t="s">
        <v>24</v>
      </c>
      <c r="B37" s="330" t="s">
        <v>203</v>
      </c>
      <c r="C37" s="21">
        <v>4.2571428571428573E-2</v>
      </c>
      <c r="D37" s="21">
        <v>7.3523198571428569E-2</v>
      </c>
      <c r="E37" s="21">
        <v>5.3214285714285714E-2</v>
      </c>
      <c r="F37" s="21">
        <v>9.1903998214285701E-2</v>
      </c>
      <c r="G37" s="21">
        <v>6.3857142857142848E-2</v>
      </c>
      <c r="H37" s="21">
        <v>0.11028479785714285</v>
      </c>
      <c r="I37" s="21">
        <v>7.4499999999999997E-2</v>
      </c>
      <c r="J37" s="21">
        <v>0.12866559750000001</v>
      </c>
      <c r="K37" s="21">
        <v>8.5142857142857145E-2</v>
      </c>
      <c r="L37" s="21">
        <v>0.14704639714285714</v>
      </c>
    </row>
    <row r="38" spans="1:12" x14ac:dyDescent="0.25">
      <c r="A38" s="85" t="s">
        <v>24</v>
      </c>
      <c r="B38" s="77" t="s">
        <v>199</v>
      </c>
      <c r="C38" s="21">
        <v>2.6003723150912643E-2</v>
      </c>
      <c r="D38" s="21">
        <v>4.4909860086399439E-2</v>
      </c>
      <c r="E38" s="21">
        <v>3.2504653938640805E-2</v>
      </c>
      <c r="F38" s="21">
        <v>5.6137325107999299E-2</v>
      </c>
      <c r="G38" s="21">
        <v>3.9005584726368968E-2</v>
      </c>
      <c r="H38" s="21">
        <v>6.7364790129599159E-2</v>
      </c>
      <c r="I38" s="21">
        <v>4.5506515514097123E-2</v>
      </c>
      <c r="J38" s="21">
        <v>7.8592255151199011E-2</v>
      </c>
      <c r="K38" s="21">
        <v>5.2007446301825286E-2</v>
      </c>
      <c r="L38" s="21">
        <v>8.9819720172798878E-2</v>
      </c>
    </row>
    <row r="39" spans="1:12" x14ac:dyDescent="0.25">
      <c r="A39" s="127" t="s">
        <v>24</v>
      </c>
      <c r="B39" s="126"/>
      <c r="C39" s="21"/>
      <c r="D39" s="21">
        <v>3.2941541673333324E-2</v>
      </c>
      <c r="E39" s="21"/>
      <c r="F39" s="21">
        <v>5.5124144023437502E-2</v>
      </c>
      <c r="G39" s="21"/>
      <c r="H39" s="21">
        <v>0.11843504199999999</v>
      </c>
      <c r="I39" s="21"/>
      <c r="J39" s="21">
        <v>0.17066866221913576</v>
      </c>
      <c r="K39" s="21"/>
      <c r="L39" s="21">
        <v>0.24759816345000005</v>
      </c>
    </row>
    <row r="40" spans="1:12" x14ac:dyDescent="0.25">
      <c r="A40" s="31" t="s">
        <v>1</v>
      </c>
      <c r="B40" s="330" t="s">
        <v>203</v>
      </c>
      <c r="C40" s="21">
        <v>5.5E-2</v>
      </c>
      <c r="D40" s="21">
        <v>0.12587226666666668</v>
      </c>
      <c r="E40" s="21">
        <v>6.8750000000000006E-2</v>
      </c>
      <c r="F40" s="21">
        <v>0.15734033333333336</v>
      </c>
      <c r="G40" s="21">
        <v>8.2500000000000004E-2</v>
      </c>
      <c r="H40" s="21">
        <v>0.18880840000000004</v>
      </c>
      <c r="I40" s="21">
        <v>9.6250000000000002E-2</v>
      </c>
      <c r="J40" s="21">
        <v>0.22027646666666667</v>
      </c>
      <c r="K40" s="331">
        <v>0.11</v>
      </c>
      <c r="L40" s="21">
        <v>0.25174453333333335</v>
      </c>
    </row>
    <row r="41" spans="1:12" x14ac:dyDescent="0.25">
      <c r="A41" s="85" t="s">
        <v>1</v>
      </c>
      <c r="B41" s="77" t="s">
        <v>199</v>
      </c>
      <c r="C41" s="21">
        <v>3.9761341679913867E-2</v>
      </c>
      <c r="D41" s="21">
        <v>9.0997276417428483E-2</v>
      </c>
      <c r="E41" s="21">
        <v>4.970167709989233E-2</v>
      </c>
      <c r="F41" s="21">
        <v>0.11374659552178558</v>
      </c>
      <c r="G41" s="21">
        <v>8.0707300439288143E-2</v>
      </c>
      <c r="H41" s="21">
        <v>0.18470565168801564</v>
      </c>
      <c r="I41" s="21">
        <v>0.12556522035551965</v>
      </c>
      <c r="J41" s="21">
        <v>0.28736688910270414</v>
      </c>
      <c r="K41" s="21">
        <v>0.14350310897773672</v>
      </c>
      <c r="L41" s="21">
        <v>0.32841930183166185</v>
      </c>
    </row>
    <row r="42" spans="1:12" x14ac:dyDescent="0.25">
      <c r="A42" s="332" t="s">
        <v>25</v>
      </c>
      <c r="B42" s="77" t="s">
        <v>199</v>
      </c>
      <c r="C42" s="21">
        <v>1.6425143721851405E-2</v>
      </c>
      <c r="D42" s="21">
        <v>3.1871348877880464E-2</v>
      </c>
      <c r="E42" s="21">
        <v>2.0531429652314255E-2</v>
      </c>
      <c r="F42" s="21">
        <v>3.9839186097350585E-2</v>
      </c>
      <c r="G42" s="21">
        <v>2.4637715582777105E-2</v>
      </c>
      <c r="H42" s="21">
        <v>4.7807023316820692E-2</v>
      </c>
      <c r="I42" s="21">
        <v>4.3231905657951541E-2</v>
      </c>
      <c r="J42" s="21">
        <v>8.388718973868918E-2</v>
      </c>
      <c r="K42" s="21">
        <v>4.9407892180516048E-2</v>
      </c>
      <c r="L42" s="21">
        <v>9.5871073987073341E-2</v>
      </c>
    </row>
    <row r="43" spans="1:12" x14ac:dyDescent="0.25">
      <c r="A43" s="332" t="s">
        <v>26</v>
      </c>
      <c r="B43" s="77" t="s">
        <v>199</v>
      </c>
      <c r="C43" s="21">
        <v>1.8499049966165151E-2</v>
      </c>
      <c r="D43" s="21">
        <v>3.5895556554346862E-2</v>
      </c>
      <c r="E43" s="21">
        <v>2.3123812457706443E-2</v>
      </c>
      <c r="F43" s="21">
        <v>4.4869445692933579E-2</v>
      </c>
      <c r="G43" s="21">
        <v>2.7748574949247731E-2</v>
      </c>
      <c r="H43" s="21">
        <v>5.3843334831520297E-2</v>
      </c>
      <c r="I43" s="21">
        <v>6.189334461449373E-2</v>
      </c>
      <c r="J43" s="21">
        <v>0.12009784588996364</v>
      </c>
      <c r="K43" s="21">
        <v>7.073525098799284E-2</v>
      </c>
      <c r="L43" s="21">
        <v>0.13725468101710131</v>
      </c>
    </row>
    <row r="44" spans="1:12" x14ac:dyDescent="0.25">
      <c r="A44" s="332" t="s">
        <v>189</v>
      </c>
      <c r="B44" s="77" t="s">
        <v>199</v>
      </c>
      <c r="C44" s="21">
        <v>5.7798455470010439E-3</v>
      </c>
      <c r="D44" s="21">
        <v>1.138475443544619E-2</v>
      </c>
      <c r="E44" s="21">
        <v>7.224806933751304E-3</v>
      </c>
      <c r="F44" s="21">
        <v>1.4230943044307736E-2</v>
      </c>
      <c r="G44" s="21">
        <v>8.6697683205015658E-3</v>
      </c>
      <c r="H44" s="21">
        <v>1.7077131653169285E-2</v>
      </c>
      <c r="I44" s="21">
        <v>1.0114729707251826E-2</v>
      </c>
      <c r="J44" s="21">
        <v>1.9923320262030829E-2</v>
      </c>
      <c r="K44" s="21">
        <v>1.1559691094002088E-2</v>
      </c>
      <c r="L44" s="21">
        <v>2.276950887089238E-2</v>
      </c>
    </row>
    <row r="45" spans="1:12" x14ac:dyDescent="0.25">
      <c r="A45" s="332" t="s">
        <v>190</v>
      </c>
      <c r="B45" s="77" t="s">
        <v>199</v>
      </c>
      <c r="C45" s="21">
        <v>9.5725715263053086E-3</v>
      </c>
      <c r="D45" s="21">
        <v>1.885541322108111E-2</v>
      </c>
      <c r="E45" s="21">
        <v>1.1965714407881635E-2</v>
      </c>
      <c r="F45" s="21">
        <v>2.3569266526351388E-2</v>
      </c>
      <c r="G45" s="21">
        <v>1.4358857289457962E-2</v>
      </c>
      <c r="H45" s="21">
        <v>2.8283119831621666E-2</v>
      </c>
      <c r="I45" s="21">
        <v>1.675200017103429E-2</v>
      </c>
      <c r="J45" s="21">
        <v>3.2996973136891941E-2</v>
      </c>
      <c r="K45" s="21">
        <v>1.9145143052610617E-2</v>
      </c>
      <c r="L45" s="21">
        <v>3.7710826442162219E-2</v>
      </c>
    </row>
    <row r="46" spans="1:12" x14ac:dyDescent="0.25">
      <c r="A46" s="332" t="s">
        <v>105</v>
      </c>
      <c r="B46" s="77" t="s">
        <v>199</v>
      </c>
      <c r="C46" s="21">
        <v>7.0783056874107976E-3</v>
      </c>
      <c r="D46" s="21">
        <v>1.3942374656015961E-2</v>
      </c>
      <c r="E46" s="21">
        <v>8.8478821092634972E-3</v>
      </c>
      <c r="F46" s="21">
        <v>1.742796832001995E-2</v>
      </c>
      <c r="G46" s="21">
        <v>1.0617458531116196E-2</v>
      </c>
      <c r="H46" s="21">
        <v>2.0913561984023939E-2</v>
      </c>
      <c r="I46" s="21">
        <v>1.2387034952968895E-2</v>
      </c>
      <c r="J46" s="21">
        <v>2.4399155648027929E-2</v>
      </c>
      <c r="K46" s="21">
        <v>1.4156611374821595E-2</v>
      </c>
      <c r="L46" s="21">
        <v>2.7884749312031921E-2</v>
      </c>
    </row>
    <row r="47" spans="1:12" x14ac:dyDescent="0.25">
      <c r="A47" s="286" t="s">
        <v>191</v>
      </c>
      <c r="B47" s="246" t="s">
        <v>199</v>
      </c>
      <c r="C47" s="21">
        <f>'[1]Q.ilex_Q.suber y Larix'!B2</f>
        <v>0.22804054532011345</v>
      </c>
      <c r="D47" s="21">
        <f>'Q.ilex_Q.suber y Larix'!C2</f>
        <v>0.34382433153064573</v>
      </c>
      <c r="E47" s="21">
        <f>'Q.ilex_Q.suber y Larix'!D2</f>
        <v>0.2850506816501418</v>
      </c>
      <c r="F47" s="21">
        <f>'Q.ilex_Q.suber y Larix'!E2</f>
        <v>0.42978041441330711</v>
      </c>
      <c r="G47" s="21">
        <f>'Q.ilex_Q.suber y Larix'!F2</f>
        <v>0.34206081798017018</v>
      </c>
      <c r="H47" s="21">
        <f>'Q.ilex_Q.suber y Larix'!G2</f>
        <v>0.5157364972959686</v>
      </c>
      <c r="I47" s="21">
        <f>'Q.ilex_Q.suber y Larix'!H2</f>
        <v>0.39907095431019857</v>
      </c>
      <c r="J47" s="21">
        <f>'Q.ilex_Q.suber y Larix'!I2</f>
        <v>0.60169258017863003</v>
      </c>
      <c r="K47" s="21">
        <f>'Q.ilex_Q.suber y Larix'!J2</f>
        <v>0.45608109064022689</v>
      </c>
      <c r="L47" s="21">
        <f>'Q.ilex_Q.suber y Larix'!K2</f>
        <v>0.68764866306129147</v>
      </c>
    </row>
    <row r="48" spans="1:12" x14ac:dyDescent="0.25">
      <c r="A48" s="2" t="s">
        <v>27</v>
      </c>
      <c r="B48" s="79"/>
      <c r="C48" s="21"/>
      <c r="D48" s="21"/>
      <c r="E48" s="21"/>
      <c r="F48" s="21"/>
      <c r="G48" s="21"/>
      <c r="H48" s="21"/>
      <c r="I48" s="21"/>
      <c r="J48" s="21"/>
      <c r="K48" s="21"/>
      <c r="L48" s="21"/>
    </row>
    <row r="49" spans="1:12" x14ac:dyDescent="0.25">
      <c r="A49" s="2" t="s">
        <v>28</v>
      </c>
      <c r="B49" s="82"/>
      <c r="C49" s="21"/>
      <c r="D49" s="21"/>
      <c r="E49" s="21"/>
      <c r="F49" s="21"/>
      <c r="G49" s="21"/>
      <c r="H49" s="21"/>
      <c r="I49" s="21"/>
      <c r="J49" s="21"/>
      <c r="K49" s="21"/>
      <c r="L49" s="21"/>
    </row>
    <row r="50" spans="1:12" x14ac:dyDescent="0.25">
      <c r="A50" s="2" t="s">
        <v>29</v>
      </c>
      <c r="B50" s="79"/>
      <c r="C50" s="21"/>
      <c r="D50" s="21"/>
      <c r="E50" s="21"/>
      <c r="F50" s="21"/>
      <c r="G50" s="21"/>
      <c r="H50" s="21"/>
      <c r="I50" s="21"/>
      <c r="J50" s="21"/>
      <c r="K50" s="21"/>
      <c r="L50" s="21"/>
    </row>
    <row r="51" spans="1:12" x14ac:dyDescent="0.25">
      <c r="A51" s="2" t="s">
        <v>33</v>
      </c>
      <c r="B51" s="79"/>
      <c r="C51" s="21"/>
      <c r="D51" s="21"/>
      <c r="E51" s="21"/>
      <c r="F51" s="21"/>
      <c r="G51" s="21"/>
      <c r="H51" s="21"/>
      <c r="I51" s="21"/>
      <c r="J51" s="21"/>
      <c r="K51" s="21"/>
      <c r="L51" s="21"/>
    </row>
    <row r="52" spans="1:12" x14ac:dyDescent="0.25">
      <c r="A52" s="2" t="s">
        <v>34</v>
      </c>
      <c r="B52" s="79"/>
      <c r="C52" s="21"/>
      <c r="D52" s="21"/>
      <c r="E52" s="21"/>
      <c r="F52" s="21"/>
      <c r="G52" s="21"/>
      <c r="H52" s="21"/>
      <c r="I52" s="21"/>
      <c r="J52" s="21"/>
      <c r="K52" s="21"/>
      <c r="L52" s="21"/>
    </row>
    <row r="53" spans="1:12" x14ac:dyDescent="0.25">
      <c r="A53" s="332" t="s">
        <v>171</v>
      </c>
      <c r="B53" s="77" t="s">
        <v>199</v>
      </c>
      <c r="C53" s="21">
        <v>1.275303928793441E-2</v>
      </c>
      <c r="D53" s="21">
        <v>3.8995053250978962E-2</v>
      </c>
      <c r="E53" s="21">
        <v>1.5941299109918011E-2</v>
      </c>
      <c r="F53" s="21">
        <v>4.8743816563723702E-2</v>
      </c>
      <c r="G53" s="21">
        <v>2.7498353715506931E-2</v>
      </c>
      <c r="H53" s="21">
        <v>8.4081899478263639E-2</v>
      </c>
      <c r="I53" s="21">
        <v>3.2081412668091419E-2</v>
      </c>
      <c r="J53" s="21">
        <v>9.8095549391307588E-2</v>
      </c>
      <c r="K53" s="21">
        <v>3.6664471620675911E-2</v>
      </c>
      <c r="L53" s="21">
        <v>0.11210919930435154</v>
      </c>
    </row>
    <row r="54" spans="1:12" x14ac:dyDescent="0.25">
      <c r="A54" s="332" t="s">
        <v>39</v>
      </c>
      <c r="B54" s="77" t="s">
        <v>199</v>
      </c>
      <c r="C54" s="21">
        <v>1.3060539347216366E-2</v>
      </c>
      <c r="D54" s="21">
        <v>2.5342670549338638E-2</v>
      </c>
      <c r="E54" s="21">
        <v>1.6325674184020457E-2</v>
      </c>
      <c r="F54" s="21">
        <v>3.1678338186673295E-2</v>
      </c>
      <c r="G54" s="21">
        <v>4.6052327221534919E-2</v>
      </c>
      <c r="H54" s="21">
        <v>8.9359935740666363E-2</v>
      </c>
      <c r="I54" s="21">
        <v>8.8288764449473867E-2</v>
      </c>
      <c r="J54" s="21">
        <v>0.17131551853775909</v>
      </c>
      <c r="K54" s="21">
        <v>0.10090144508511299</v>
      </c>
      <c r="L54" s="21">
        <v>0.19578916404315322</v>
      </c>
    </row>
    <row r="55" spans="1:12" x14ac:dyDescent="0.25">
      <c r="A55" s="2" t="s">
        <v>40</v>
      </c>
      <c r="B55" s="79"/>
      <c r="C55" s="21"/>
      <c r="D55" s="21"/>
      <c r="E55" s="21"/>
      <c r="F55" s="21"/>
      <c r="G55" s="21"/>
      <c r="H55" s="21"/>
      <c r="I55" s="21"/>
      <c r="J55" s="21"/>
      <c r="K55" s="21"/>
      <c r="L55" s="21"/>
    </row>
    <row r="56" spans="1:12" x14ac:dyDescent="0.25">
      <c r="A56" s="2" t="s">
        <v>41</v>
      </c>
      <c r="B56" s="79"/>
      <c r="C56" s="331"/>
      <c r="D56" s="331"/>
      <c r="E56" s="331"/>
      <c r="F56" s="331"/>
      <c r="G56" s="331"/>
      <c r="H56" s="331"/>
      <c r="I56" s="331"/>
      <c r="J56" s="331"/>
      <c r="K56" s="331"/>
      <c r="L56" s="331"/>
    </row>
    <row r="57" spans="1:12" x14ac:dyDescent="0.25">
      <c r="A57" s="31" t="s">
        <v>42</v>
      </c>
      <c r="B57" s="330" t="s">
        <v>203</v>
      </c>
      <c r="C57" s="331">
        <v>4.8500000000000001E-2</v>
      </c>
      <c r="D57" s="331">
        <v>6.1570345833333325E-2</v>
      </c>
      <c r="E57" s="331">
        <v>6.0624999999999991E-2</v>
      </c>
      <c r="F57" s="331">
        <v>7.6962932291666661E-2</v>
      </c>
      <c r="G57" s="331">
        <v>7.2749999999999995E-2</v>
      </c>
      <c r="H57" s="331">
        <v>9.235551874999999E-2</v>
      </c>
      <c r="I57" s="331">
        <v>8.4875000000000006E-2</v>
      </c>
      <c r="J57" s="331">
        <v>0.10774810520833335</v>
      </c>
      <c r="K57" s="331">
        <v>9.7000000000000003E-2</v>
      </c>
      <c r="L57" s="331">
        <v>0.12314069166666665</v>
      </c>
    </row>
    <row r="58" spans="1:12" x14ac:dyDescent="0.25">
      <c r="A58" s="85" t="s">
        <v>42</v>
      </c>
      <c r="B58" s="77" t="s">
        <v>199</v>
      </c>
      <c r="C58" s="21">
        <v>2.0911777452768961E-2</v>
      </c>
      <c r="D58" s="21">
        <v>2.6547327211478084E-2</v>
      </c>
      <c r="E58" s="21">
        <v>5.3836633176261334E-2</v>
      </c>
      <c r="F58" s="21">
        <v>6.8345157178653956E-2</v>
      </c>
      <c r="G58" s="21">
        <v>0.10661669545555842</v>
      </c>
      <c r="H58" s="21">
        <v>0.13534900640836928</v>
      </c>
      <c r="I58" s="21">
        <v>0.12438614469815149</v>
      </c>
      <c r="J58" s="21">
        <v>0.15790717414309749</v>
      </c>
      <c r="K58" s="21">
        <v>0.14215559394074456</v>
      </c>
      <c r="L58" s="21">
        <v>0.1804653418778257</v>
      </c>
    </row>
    <row r="59" spans="1:12" x14ac:dyDescent="0.25">
      <c r="A59" s="30" t="s">
        <v>43</v>
      </c>
      <c r="B59" s="80" t="s">
        <v>228</v>
      </c>
      <c r="C59" s="21"/>
      <c r="D59" s="21">
        <v>0</v>
      </c>
      <c r="E59" s="21"/>
      <c r="F59" s="21">
        <v>5.7257669413919412E-3</v>
      </c>
      <c r="G59" s="21"/>
      <c r="H59" s="21">
        <v>1.6673433333333335E-2</v>
      </c>
      <c r="I59" s="21"/>
      <c r="J59" s="21">
        <v>3.6539242599000384E-2</v>
      </c>
      <c r="K59" s="21"/>
      <c r="L59" s="21">
        <v>7.085028328611899E-2</v>
      </c>
    </row>
    <row r="60" spans="1:12" x14ac:dyDescent="0.25">
      <c r="A60" s="31" t="s">
        <v>43</v>
      </c>
      <c r="B60" s="330" t="s">
        <v>203</v>
      </c>
      <c r="C60" s="331">
        <v>3.8799999999999994E-2</v>
      </c>
      <c r="D60" s="331">
        <v>6.4692921333333334E-2</v>
      </c>
      <c r="E60" s="331">
        <v>4.8500000000000001E-2</v>
      </c>
      <c r="F60" s="331">
        <v>8.086615166666665E-2</v>
      </c>
      <c r="G60" s="331">
        <v>5.8199999999999995E-2</v>
      </c>
      <c r="H60" s="331">
        <v>9.7039382000000007E-2</v>
      </c>
      <c r="I60" s="331">
        <v>6.7899999999999988E-2</v>
      </c>
      <c r="J60" s="331">
        <v>0.11321261233333332</v>
      </c>
      <c r="K60" s="331">
        <v>0.12938584266666667</v>
      </c>
      <c r="L60" s="331">
        <v>7.7599999999999988E-2</v>
      </c>
    </row>
    <row r="61" spans="1:12" x14ac:dyDescent="0.25">
      <c r="A61" s="85" t="s">
        <v>43</v>
      </c>
      <c r="B61" s="77" t="s">
        <v>199</v>
      </c>
      <c r="C61" s="21">
        <v>1.8469139953884307E-2</v>
      </c>
      <c r="D61" s="333">
        <v>3.079439737450931E-2</v>
      </c>
      <c r="E61" s="333">
        <v>2.3086424942355382E-2</v>
      </c>
      <c r="F61" s="333">
        <v>3.8492996718136628E-2</v>
      </c>
      <c r="G61" s="333">
        <v>4.9293523056054722E-2</v>
      </c>
      <c r="H61" s="333">
        <v>8.21892270440258E-2</v>
      </c>
      <c r="I61" s="333">
        <v>4.4133364500346293E-2</v>
      </c>
      <c r="J61" s="334">
        <v>0.1375600979341646</v>
      </c>
      <c r="K61" s="333">
        <v>9.4288643108610765E-2</v>
      </c>
      <c r="L61" s="333">
        <v>0.15721154049618813</v>
      </c>
    </row>
    <row r="62" spans="1:12" x14ac:dyDescent="0.25">
      <c r="A62" s="127" t="s">
        <v>43</v>
      </c>
      <c r="B62" s="126"/>
      <c r="C62" s="21"/>
      <c r="D62" s="21">
        <v>2.0321507946666668E-2</v>
      </c>
      <c r="E62" s="21"/>
      <c r="F62" s="21">
        <v>2.666379298E-2</v>
      </c>
      <c r="G62" s="21"/>
      <c r="H62" s="21">
        <v>4.0266540526666651E-2</v>
      </c>
      <c r="I62" s="21"/>
      <c r="J62" s="21">
        <v>6.1635670506666677E-2</v>
      </c>
      <c r="K62" s="21"/>
      <c r="L62" s="21">
        <v>9.3176129566666682E-2</v>
      </c>
    </row>
    <row r="63" spans="1:12" x14ac:dyDescent="0.25">
      <c r="A63" s="328" t="s">
        <v>44</v>
      </c>
      <c r="B63" s="80" t="s">
        <v>94</v>
      </c>
      <c r="C63" s="331">
        <v>5.2527131782945741E-2</v>
      </c>
      <c r="D63" s="331">
        <f>'Total especies y métodos'!D62</f>
        <v>3.4157697129970299E-2</v>
      </c>
      <c r="E63" s="331">
        <f>'Total especies y métodos'!E62</f>
        <v>6.6000000000000003E-2</v>
      </c>
      <c r="F63" s="331">
        <f>'Total especies y métodos'!F62</f>
        <v>4.2697121412462874E-2</v>
      </c>
      <c r="G63" s="331">
        <f>'Total especies y métodos'!G62</f>
        <v>7.8790697674418611E-2</v>
      </c>
      <c r="H63" s="331">
        <f>'Total especies y métodos'!H62</f>
        <v>5.1236545694955449E-2</v>
      </c>
      <c r="I63" s="331">
        <f>'Total especies y métodos'!I62</f>
        <v>0.106</v>
      </c>
      <c r="J63" s="331">
        <f>'Total especies y métodos'!J62</f>
        <v>0.10884537979242993</v>
      </c>
      <c r="K63" s="331">
        <f>'Total especies y métodos'!K62</f>
        <v>0.18160469667318982</v>
      </c>
      <c r="L63" s="331">
        <f>'Total especies y métodos'!L62</f>
        <v>0.12636076078387784</v>
      </c>
    </row>
    <row r="64" spans="1:12" x14ac:dyDescent="0.25">
      <c r="A64" s="31" t="s">
        <v>44</v>
      </c>
      <c r="B64" s="330" t="s">
        <v>203</v>
      </c>
      <c r="C64" s="21">
        <v>4.3999999999999997E-2</v>
      </c>
      <c r="D64" s="21">
        <v>6.4017066666666664E-2</v>
      </c>
      <c r="E64" s="21">
        <v>5.5000000000000007E-2</v>
      </c>
      <c r="F64" s="21">
        <v>8.0021333333333347E-2</v>
      </c>
      <c r="G64" s="21">
        <v>6.6000000000000003E-2</v>
      </c>
      <c r="H64" s="21">
        <v>9.6025599999999989E-2</v>
      </c>
      <c r="I64" s="21">
        <v>7.6999999999999999E-2</v>
      </c>
      <c r="J64" s="21">
        <v>0.11202986666666667</v>
      </c>
      <c r="K64" s="331">
        <v>8.7999999999999995E-2</v>
      </c>
      <c r="L64" s="21">
        <v>0.12803413333333333</v>
      </c>
    </row>
    <row r="65" spans="1:12" x14ac:dyDescent="0.25">
      <c r="A65" s="85" t="s">
        <v>44</v>
      </c>
      <c r="B65" s="77" t="s">
        <v>199</v>
      </c>
      <c r="C65" s="21">
        <v>1.7920503247184628E-2</v>
      </c>
      <c r="D65" s="21">
        <v>2.6073137524437157E-2</v>
      </c>
      <c r="E65" s="21">
        <v>2.2400629058980784E-2</v>
      </c>
      <c r="F65" s="21">
        <v>3.2591421905546439E-2</v>
      </c>
      <c r="G65" s="21">
        <v>5.4433981189938044E-2</v>
      </c>
      <c r="H65" s="21">
        <v>7.9197813699280514E-2</v>
      </c>
      <c r="I65" s="21">
        <v>6.3506311388261058E-2</v>
      </c>
      <c r="J65" s="21">
        <v>9.2397449315827287E-2</v>
      </c>
      <c r="K65" s="21">
        <v>7.2578641586584058E-2</v>
      </c>
      <c r="L65" s="21">
        <v>0.10559708493237403</v>
      </c>
    </row>
    <row r="66" spans="1:12" x14ac:dyDescent="0.25">
      <c r="A66" s="127" t="s">
        <v>44</v>
      </c>
      <c r="B66" s="126"/>
      <c r="C66" s="21"/>
      <c r="D66" s="21">
        <v>0.18382044761299327</v>
      </c>
      <c r="E66" s="21"/>
      <c r="F66" s="21">
        <v>0.34826063882451141</v>
      </c>
      <c r="G66" s="21"/>
      <c r="H66" s="21">
        <v>0.57646899987068079</v>
      </c>
      <c r="I66" s="21"/>
      <c r="J66" s="21">
        <v>0.87455170971595497</v>
      </c>
      <c r="K66" s="21"/>
      <c r="L66" s="21">
        <v>1.2168313571830238</v>
      </c>
    </row>
    <row r="67" spans="1:12" x14ac:dyDescent="0.25">
      <c r="A67" s="792" t="s">
        <v>136</v>
      </c>
      <c r="B67" s="80" t="s">
        <v>138</v>
      </c>
      <c r="C67" s="331">
        <v>0.23955555555555555</v>
      </c>
      <c r="D67" s="331">
        <f>'Total especies y métodos'!D66</f>
        <v>0.2327115308614556</v>
      </c>
      <c r="E67" s="331">
        <f>'Total especies y métodos'!E66</f>
        <v>0.42199999999999999</v>
      </c>
      <c r="F67" s="331">
        <f>'Total especies y métodos'!F66</f>
        <v>0.40856203182870365</v>
      </c>
      <c r="G67" s="331">
        <f>'Total especies y métodos'!G66</f>
        <v>0.78600000000000003</v>
      </c>
      <c r="H67" s="331">
        <f>'Total especies y métodos'!H66</f>
        <v>0.58249493630952376</v>
      </c>
      <c r="I67" s="331">
        <f>'Total especies y métodos'!I66</f>
        <v>0.86799999999999999</v>
      </c>
      <c r="J67" s="331">
        <f>'Total especies y métodos'!J66</f>
        <v>0.74304199720492636</v>
      </c>
      <c r="K67" s="331">
        <f>'Total especies y métodos'!K66</f>
        <v>1.3740000000000001</v>
      </c>
      <c r="L67" s="331">
        <f>'Total especies y métodos'!L66</f>
        <v>0.91206257563956428</v>
      </c>
    </row>
    <row r="68" spans="1:12" x14ac:dyDescent="0.25">
      <c r="A68" s="800"/>
      <c r="B68" s="80" t="s">
        <v>139</v>
      </c>
      <c r="C68" s="331">
        <v>0.35216666666666668</v>
      </c>
      <c r="D68" s="331">
        <f>'Total especies y métodos'!D67</f>
        <v>0.32827964901620366</v>
      </c>
      <c r="E68" s="331">
        <f>'Total especies y métodos'!E67</f>
        <v>1.4219999999999999</v>
      </c>
      <c r="F68" s="331">
        <f>'Total especies y métodos'!F67</f>
        <v>0.53815745067959075</v>
      </c>
      <c r="G68" s="331">
        <f>'Total especies y métodos'!G67</f>
        <v>1.786</v>
      </c>
      <c r="H68" s="331">
        <f>'Total especies y métodos'!H67</f>
        <v>0.69121584652967782</v>
      </c>
      <c r="I68" s="331">
        <f>'Total especies y métodos'!I67</f>
        <v>1.8680000000000001</v>
      </c>
      <c r="J68" s="331">
        <f>'Total especies y métodos'!J67</f>
        <v>0.80641848761795754</v>
      </c>
      <c r="K68" s="331">
        <f>'Total especies y métodos'!K67</f>
        <v>2.3740000000000001</v>
      </c>
      <c r="L68" s="331">
        <f>'Total especies y métodos'!L67</f>
        <v>0.92162112870623725</v>
      </c>
    </row>
    <row r="69" spans="1:12" x14ac:dyDescent="0.25">
      <c r="A69" s="32" t="s">
        <v>45</v>
      </c>
      <c r="B69" s="330" t="s">
        <v>203</v>
      </c>
      <c r="C69" s="21">
        <v>0.109</v>
      </c>
      <c r="D69" s="21">
        <v>0.14123220833333333</v>
      </c>
      <c r="E69" s="21">
        <v>0.221</v>
      </c>
      <c r="F69" s="21">
        <v>0.28635154166666665</v>
      </c>
      <c r="G69" s="21">
        <v>0.379</v>
      </c>
      <c r="H69" s="21">
        <v>0.49107345833333343</v>
      </c>
      <c r="I69" s="21">
        <v>0.56899999999999995</v>
      </c>
      <c r="J69" s="21">
        <v>0.73725804166666664</v>
      </c>
      <c r="K69" s="331">
        <v>0.79900000000000004</v>
      </c>
      <c r="L69" s="21">
        <v>1.0352709583333333</v>
      </c>
    </row>
    <row r="70" spans="1:12" x14ac:dyDescent="0.25">
      <c r="A70" s="30" t="s">
        <v>517</v>
      </c>
      <c r="B70" s="80" t="s">
        <v>140</v>
      </c>
      <c r="C70" s="335">
        <v>4.0599999999999997E-2</v>
      </c>
      <c r="D70" s="335">
        <f>'Total especies y métodos'!D69</f>
        <v>0.11982849020241199</v>
      </c>
      <c r="E70" s="335">
        <f>'Total especies y métodos'!E69</f>
        <v>0.124475</v>
      </c>
      <c r="F70" s="335">
        <f>'Total especies y métodos'!F69</f>
        <v>0.14978561275301497</v>
      </c>
      <c r="G70" s="335">
        <f>'Total especies y métodos'!G69</f>
        <v>0.1981859410430839</v>
      </c>
      <c r="H70" s="335">
        <f>'Total especies y métodos'!H69</f>
        <v>0.17974273530361798</v>
      </c>
      <c r="I70" s="335">
        <f>'Total especies y métodos'!I69</f>
        <v>0.340225</v>
      </c>
      <c r="J70" s="335">
        <f>'Total especies y métodos'!J69</f>
        <v>0.26196202857543643</v>
      </c>
      <c r="K70" s="335">
        <f>'Total especies y métodos'!K69</f>
        <v>0.39999999999999997</v>
      </c>
      <c r="L70" s="335">
        <f>'Total especies y métodos'!L69</f>
        <v>0.35801687535521448</v>
      </c>
    </row>
    <row r="71" spans="1:12" x14ac:dyDescent="0.25">
      <c r="A71" s="31" t="s">
        <v>135</v>
      </c>
      <c r="B71" s="79"/>
      <c r="C71" s="21">
        <v>6.0666666666666667E-2</v>
      </c>
      <c r="D71" s="21">
        <v>7.8606305555555561E-2</v>
      </c>
      <c r="E71" s="21">
        <v>7.5833333333333322E-2</v>
      </c>
      <c r="F71" s="21">
        <v>9.8257881944444431E-2</v>
      </c>
      <c r="G71" s="21">
        <v>9.0999999999999998E-2</v>
      </c>
      <c r="H71" s="21">
        <v>0.11790945833333333</v>
      </c>
      <c r="I71" s="21">
        <v>0.15225</v>
      </c>
      <c r="J71" s="21">
        <v>0.19727159375</v>
      </c>
      <c r="K71" s="331">
        <v>0.17399999999999999</v>
      </c>
      <c r="L71" s="21">
        <v>0.22545325000000002</v>
      </c>
    </row>
    <row r="72" spans="1:12" x14ac:dyDescent="0.25">
      <c r="A72" s="85" t="s">
        <v>200</v>
      </c>
      <c r="B72" s="77" t="s">
        <v>199</v>
      </c>
      <c r="C72" s="21">
        <v>1.7414482645901213E-2</v>
      </c>
      <c r="D72" s="21">
        <v>2.2564090284982921E-2</v>
      </c>
      <c r="E72" s="21">
        <v>2.1768103307376517E-2</v>
      </c>
      <c r="F72" s="21">
        <v>2.8205112856228648E-2</v>
      </c>
      <c r="G72" s="21">
        <v>2.6121723968851821E-2</v>
      </c>
      <c r="H72" s="21">
        <v>3.3846135427474382E-2</v>
      </c>
      <c r="I72" s="21">
        <v>6.1389279326479446E-2</v>
      </c>
      <c r="J72" s="21">
        <v>7.9542600800647137E-2</v>
      </c>
      <c r="K72" s="21">
        <v>7.0159176373119372E-2</v>
      </c>
      <c r="L72" s="21">
        <v>9.0905829486453871E-2</v>
      </c>
    </row>
    <row r="73" spans="1:12" x14ac:dyDescent="0.25">
      <c r="A73" s="127" t="s">
        <v>200</v>
      </c>
      <c r="B73" s="126"/>
      <c r="C73" s="21"/>
      <c r="D73" s="21">
        <v>7.332910309194092E-2</v>
      </c>
      <c r="E73" s="21"/>
      <c r="F73" s="21">
        <v>0.13408913811397005</v>
      </c>
      <c r="G73" s="21"/>
      <c r="H73" s="21">
        <v>0.2198004832699853</v>
      </c>
      <c r="I73" s="21"/>
      <c r="J73" s="21">
        <v>0.334057288896078</v>
      </c>
      <c r="K73" s="21"/>
      <c r="L73" s="21">
        <v>0.42209200204030534</v>
      </c>
    </row>
    <row r="74" spans="1:12" x14ac:dyDescent="0.25">
      <c r="A74" s="332" t="s">
        <v>201</v>
      </c>
      <c r="B74" s="77" t="s">
        <v>199</v>
      </c>
      <c r="C74" s="21">
        <v>0.10742808270298149</v>
      </c>
      <c r="D74" s="21">
        <v>0.13919546199227564</v>
      </c>
      <c r="E74" s="21">
        <v>0.13428510337872684</v>
      </c>
      <c r="F74" s="21">
        <v>0.17399432749034452</v>
      </c>
      <c r="G74" s="21">
        <v>0.16114212405447223</v>
      </c>
      <c r="H74" s="21">
        <v>0.20879319298841345</v>
      </c>
      <c r="I74" s="21">
        <v>0.18799914473021759</v>
      </c>
      <c r="J74" s="21">
        <v>0.24359205848648233</v>
      </c>
      <c r="K74" s="21">
        <v>0.21485616540596297</v>
      </c>
      <c r="L74" s="21">
        <v>0.27839092398455129</v>
      </c>
    </row>
    <row r="75" spans="1:12" x14ac:dyDescent="0.25">
      <c r="A75" s="31" t="s">
        <v>46</v>
      </c>
      <c r="B75" s="330" t="s">
        <v>203</v>
      </c>
      <c r="C75" s="21">
        <v>6.8000000000000005E-2</v>
      </c>
      <c r="D75" s="21">
        <v>0.11312128666666665</v>
      </c>
      <c r="E75" s="21">
        <v>8.5000000000000006E-2</v>
      </c>
      <c r="F75" s="21">
        <v>0.14140160833333335</v>
      </c>
      <c r="G75" s="21">
        <v>0.10199999999999999</v>
      </c>
      <c r="H75" s="21">
        <v>0.16968192999999995</v>
      </c>
      <c r="I75" s="21">
        <v>0.11899999999999999</v>
      </c>
      <c r="J75" s="21">
        <v>0.19796225166666664</v>
      </c>
      <c r="K75" s="331">
        <v>0.13600000000000001</v>
      </c>
      <c r="L75" s="21">
        <v>0.22624257333333331</v>
      </c>
    </row>
    <row r="76" spans="1:12" x14ac:dyDescent="0.25">
      <c r="A76" s="85" t="s">
        <v>46</v>
      </c>
      <c r="B76" s="77" t="s">
        <v>199</v>
      </c>
      <c r="C76" s="21">
        <v>3.3503830928553087E-2</v>
      </c>
      <c r="D76" s="21">
        <v>5.5735242101476262E-2</v>
      </c>
      <c r="E76" s="21">
        <v>5.8341290419510826E-2</v>
      </c>
      <c r="F76" s="21">
        <v>9.7053556441893188E-2</v>
      </c>
      <c r="G76" s="21">
        <v>0.10075270942259493</v>
      </c>
      <c r="H76" s="21">
        <v>0.16760700183877539</v>
      </c>
      <c r="I76" s="21">
        <v>0.11754482765969408</v>
      </c>
      <c r="J76" s="21">
        <v>0.19554150214523794</v>
      </c>
      <c r="K76" s="21">
        <v>0.17605825136816797</v>
      </c>
      <c r="L76" s="21">
        <v>0.29288141063309686</v>
      </c>
    </row>
    <row r="77" spans="1:12" x14ac:dyDescent="0.25">
      <c r="A77" s="30" t="s">
        <v>47</v>
      </c>
      <c r="B77" s="80" t="s">
        <v>95</v>
      </c>
      <c r="C77" s="331">
        <v>0.67583025830258303</v>
      </c>
      <c r="D77" s="331">
        <f>'Total especies y métodos'!D76</f>
        <v>0.4564333244723322</v>
      </c>
      <c r="E77" s="331">
        <f>'Total especies y métodos'!E76</f>
        <v>1.099248120300752</v>
      </c>
      <c r="F77" s="331">
        <f>'Total especies y métodos'!F76</f>
        <v>0.78694276633853766</v>
      </c>
      <c r="G77" s="331">
        <f>'Total especies y métodos'!G76</f>
        <v>1.552547770700637</v>
      </c>
      <c r="H77" s="331">
        <f>'Total especies y métodos'!H76</f>
        <v>1.1651157738742044</v>
      </c>
      <c r="I77" s="331">
        <f>'Total especies y métodos'!I76</f>
        <v>2.0538759689922479</v>
      </c>
      <c r="J77" s="331">
        <f>'Total especies y métodos'!J76</f>
        <v>1.5580231120134596</v>
      </c>
      <c r="K77" s="331">
        <f>'Total especies y métodos'!K76</f>
        <v>2.5878999999999999</v>
      </c>
      <c r="L77" s="331">
        <f>'Total especies y métodos'!L76</f>
        <v>1.7805978423010973</v>
      </c>
    </row>
    <row r="78" spans="1:12" x14ac:dyDescent="0.25">
      <c r="A78" s="31" t="s">
        <v>47</v>
      </c>
      <c r="B78" s="330" t="s">
        <v>203</v>
      </c>
      <c r="C78" s="21">
        <v>0.25600000000000001</v>
      </c>
      <c r="D78" s="21">
        <v>0.26536106666666665</v>
      </c>
      <c r="E78" s="21">
        <v>0.53400000000000003</v>
      </c>
      <c r="F78" s="21">
        <v>0.55352659999999998</v>
      </c>
      <c r="G78" s="21">
        <v>0.92300000000000004</v>
      </c>
      <c r="H78" s="21">
        <v>0.95675103333333333</v>
      </c>
      <c r="I78" s="21">
        <v>1.4350000000000001</v>
      </c>
      <c r="J78" s="21">
        <v>1.4874731666666665</v>
      </c>
      <c r="K78" s="331">
        <v>2.0790000000000002</v>
      </c>
      <c r="L78" s="21">
        <v>2.1550221000000001</v>
      </c>
    </row>
    <row r="79" spans="1:12" x14ac:dyDescent="0.25">
      <c r="A79" s="85" t="s">
        <v>47</v>
      </c>
      <c r="B79" s="77" t="s">
        <v>199</v>
      </c>
      <c r="C79" s="21">
        <v>0.31777502341536062</v>
      </c>
      <c r="D79" s="21">
        <v>0.32939499677158235</v>
      </c>
      <c r="E79" s="21">
        <v>0.55930534071995763</v>
      </c>
      <c r="F79" s="21">
        <v>0.57975727267895072</v>
      </c>
      <c r="G79" s="21">
        <v>1.1056419210053683</v>
      </c>
      <c r="H79" s="21">
        <v>1.1460715605834644</v>
      </c>
      <c r="I79" s="21">
        <v>1.7462315731181992</v>
      </c>
      <c r="J79" s="21">
        <v>1.8100854409752209</v>
      </c>
      <c r="K79" s="21">
        <v>2.6150138968397703</v>
      </c>
      <c r="L79" s="21">
        <v>2.7106362383342106</v>
      </c>
    </row>
    <row r="80" spans="1:12" x14ac:dyDescent="0.25">
      <c r="A80" s="127" t="s">
        <v>47</v>
      </c>
      <c r="B80" s="126"/>
      <c r="C80" s="21"/>
      <c r="D80" s="21">
        <v>0.6347880113549772</v>
      </c>
      <c r="E80" s="21"/>
      <c r="F80" s="21">
        <v>1.0173346238390923</v>
      </c>
      <c r="G80" s="21"/>
      <c r="H80" s="21">
        <v>1.4175702293543506</v>
      </c>
      <c r="I80" s="21"/>
      <c r="J80" s="21">
        <v>1.8563619864045695</v>
      </c>
      <c r="K80" s="21"/>
      <c r="L80" s="21">
        <v>2.7347329518756447</v>
      </c>
    </row>
    <row r="81" spans="1:12" x14ac:dyDescent="0.25">
      <c r="A81" s="792" t="s">
        <v>48</v>
      </c>
      <c r="B81" s="80" t="s">
        <v>288</v>
      </c>
      <c r="C81" s="331">
        <v>4.7578749412317822E-2</v>
      </c>
      <c r="D81" s="331">
        <f>'Total especies y métodos'!D80</f>
        <v>2.0214699176883854E-2</v>
      </c>
      <c r="E81" s="331">
        <f>'Total especies y métodos'!E80</f>
        <v>5.9473436765397278E-2</v>
      </c>
      <c r="F81" s="331">
        <f>'Total especies y métodos'!F80</f>
        <v>5.0853708186201808E-2</v>
      </c>
      <c r="G81" s="331">
        <f>'Total especies y métodos'!G80</f>
        <v>7.1368124118476733E-2</v>
      </c>
      <c r="H81" s="331">
        <f>'Total especies y métodos'!H80</f>
        <v>6.102444982344217E-2</v>
      </c>
      <c r="I81" s="331">
        <f>'Total especies y métodos'!I80</f>
        <v>8.3262811471556189E-2</v>
      </c>
      <c r="J81" s="331">
        <f>'Total especies y métodos'!J80</f>
        <v>0.14704079816421481</v>
      </c>
      <c r="K81" s="331">
        <f>'Total especies y métodos'!K80</f>
        <v>0.17998417721518986</v>
      </c>
      <c r="L81" s="331">
        <f>'Total especies y métodos'!L80</f>
        <v>0.16804662647338833</v>
      </c>
    </row>
    <row r="82" spans="1:12" x14ac:dyDescent="0.25">
      <c r="A82" s="799"/>
      <c r="B82" s="80" t="s">
        <v>94</v>
      </c>
      <c r="C82" s="331">
        <v>2.9976019184652279E-2</v>
      </c>
      <c r="D82" s="331">
        <f>'Total especies y métodos'!D81</f>
        <v>3.1639288306640985E-2</v>
      </c>
      <c r="E82" s="331">
        <f>'Total especies y métodos'!E81</f>
        <v>1.0594734367654</v>
      </c>
      <c r="F82" s="331">
        <f>'Total especies y métodos'!F81</f>
        <v>3.9549110383301236E-2</v>
      </c>
      <c r="G82" s="331">
        <f>'Total especies y métodos'!G81</f>
        <v>1.07136812411848</v>
      </c>
      <c r="H82" s="331">
        <f>'Total especies y métodos'!H81</f>
        <v>4.7458932459961474E-2</v>
      </c>
      <c r="I82" s="331">
        <f>'Total especies y métodos'!I81</f>
        <v>1.0832628114715599</v>
      </c>
      <c r="J82" s="331">
        <f>'Total especies y métodos'!J81</f>
        <v>9.1964080011148003E-2</v>
      </c>
      <c r="K82" s="331">
        <f>'Total especies y métodos'!K81</f>
        <v>1.17998417721519</v>
      </c>
      <c r="L82" s="331">
        <f>'Total especies y métodos'!L81</f>
        <v>0.10795822541769297</v>
      </c>
    </row>
    <row r="83" spans="1:12" x14ac:dyDescent="0.25">
      <c r="A83" s="800"/>
      <c r="B83" s="80" t="s">
        <v>96</v>
      </c>
      <c r="C83" s="331"/>
      <c r="D83" s="331">
        <f>'Total especies y métodos'!D82</f>
        <v>4.3635426256541009E-2</v>
      </c>
      <c r="E83" s="331">
        <f>'Total especies y métodos'!E82</f>
        <v>2.0594734367654</v>
      </c>
      <c r="F83" s="331">
        <f>'Total especies y métodos'!F82</f>
        <v>5.4544282820676256E-2</v>
      </c>
      <c r="G83" s="331">
        <f>'Total especies y métodos'!G82</f>
        <v>2.07136812411848</v>
      </c>
      <c r="H83" s="331">
        <f>'Total especies y métodos'!H82</f>
        <v>6.545313938481151E-2</v>
      </c>
      <c r="I83" s="331">
        <f>'Total especies y métodos'!I82</f>
        <v>2.0832628114715601</v>
      </c>
      <c r="J83" s="331">
        <f>'Total especies y métodos'!J82</f>
        <v>0.10950251840392226</v>
      </c>
      <c r="K83" s="331">
        <f>'Total especies y métodos'!K82</f>
        <v>2.1799841772151902</v>
      </c>
      <c r="L83" s="331">
        <f>'Total especies y métodos'!L82</f>
        <v>0.16625264941496601</v>
      </c>
    </row>
    <row r="84" spans="1:12" x14ac:dyDescent="0.25">
      <c r="A84" s="31" t="s">
        <v>48</v>
      </c>
      <c r="B84" s="330" t="s">
        <v>203</v>
      </c>
      <c r="C84" s="21">
        <v>6.2E-2</v>
      </c>
      <c r="D84" s="21">
        <v>9.0135393333333313E-2</v>
      </c>
      <c r="E84" s="21">
        <v>7.7499999999999999E-2</v>
      </c>
      <c r="F84" s="21">
        <v>0.11266924166666666</v>
      </c>
      <c r="G84" s="21">
        <v>9.2999999999999999E-2</v>
      </c>
      <c r="H84" s="21">
        <v>0.13520308999999997</v>
      </c>
      <c r="I84" s="21">
        <v>0.1085</v>
      </c>
      <c r="J84" s="21">
        <v>0.15773693833333333</v>
      </c>
      <c r="K84" s="331">
        <v>0.124</v>
      </c>
      <c r="L84" s="21">
        <v>0.18027078666666663</v>
      </c>
    </row>
    <row r="85" spans="1:12" x14ac:dyDescent="0.25">
      <c r="A85" s="85" t="s">
        <v>48</v>
      </c>
      <c r="B85" s="77" t="s">
        <v>199</v>
      </c>
      <c r="C85" s="21">
        <v>2.5368496278808071E-2</v>
      </c>
      <c r="D85" s="21">
        <v>3.6880635328476907E-2</v>
      </c>
      <c r="E85" s="21">
        <v>6.40322140670921E-2</v>
      </c>
      <c r="F85" s="21">
        <v>9.3089819370024932E-2</v>
      </c>
      <c r="G85" s="21">
        <v>7.6838656880510517E-2</v>
      </c>
      <c r="H85" s="21">
        <v>0.11170778324402991</v>
      </c>
      <c r="I85" s="21">
        <v>0.13420830181283941</v>
      </c>
      <c r="J85" s="21">
        <v>0.19511158181449983</v>
      </c>
      <c r="K85" s="21">
        <v>0.15338091635753076</v>
      </c>
      <c r="L85" s="21">
        <v>0.222984664930857</v>
      </c>
    </row>
    <row r="86" spans="1:12" x14ac:dyDescent="0.25">
      <c r="A86" s="127" t="s">
        <v>48</v>
      </c>
      <c r="B86" s="126" t="s">
        <v>229</v>
      </c>
      <c r="C86" s="21"/>
      <c r="D86" s="21">
        <v>6.818251395571974E-2</v>
      </c>
      <c r="E86" s="21"/>
      <c r="F86" s="21">
        <v>0.11328301245370812</v>
      </c>
      <c r="G86" s="21"/>
      <c r="H86" s="21">
        <v>0.25256765800093695</v>
      </c>
      <c r="I86" s="21"/>
      <c r="J86" s="21">
        <v>0.42436886474774788</v>
      </c>
      <c r="K86" s="21"/>
      <c r="L86" s="21">
        <v>0.62140325587320611</v>
      </c>
    </row>
    <row r="87" spans="1:12" x14ac:dyDescent="0.25">
      <c r="A87" s="31" t="s">
        <v>49</v>
      </c>
      <c r="B87" s="330" t="s">
        <v>203</v>
      </c>
      <c r="C87" s="21">
        <v>3.2000000000000001E-2</v>
      </c>
      <c r="D87" s="21">
        <v>4.9564533333333334E-2</v>
      </c>
      <c r="E87" s="21">
        <v>0.04</v>
      </c>
      <c r="F87" s="21">
        <v>6.1955666666666666E-2</v>
      </c>
      <c r="G87" s="21">
        <v>4.8000000000000001E-2</v>
      </c>
      <c r="H87" s="21">
        <v>7.4346800000000005E-2</v>
      </c>
      <c r="I87" s="21">
        <v>5.6000000000000001E-2</v>
      </c>
      <c r="J87" s="21">
        <v>8.6737933333333336E-2</v>
      </c>
      <c r="K87" s="331">
        <v>6.4000000000000001E-2</v>
      </c>
      <c r="L87" s="21">
        <v>9.9129066666666668E-2</v>
      </c>
    </row>
    <row r="88" spans="1:12" x14ac:dyDescent="0.25">
      <c r="A88" s="85" t="s">
        <v>49</v>
      </c>
      <c r="B88" s="77" t="s">
        <v>199</v>
      </c>
      <c r="C88" s="21">
        <v>2.3631844082256638E-2</v>
      </c>
      <c r="D88" s="21">
        <v>3.6603166366973285E-2</v>
      </c>
      <c r="E88" s="21">
        <v>2.9539805102820796E-2</v>
      </c>
      <c r="F88" s="21">
        <v>4.5753957958716604E-2</v>
      </c>
      <c r="G88" s="21">
        <v>5.8196712673332089E-2</v>
      </c>
      <c r="H88" s="21">
        <v>9.0140403287118462E-2</v>
      </c>
      <c r="I88" s="21">
        <v>6.7896164785554103E-2</v>
      </c>
      <c r="J88" s="21">
        <v>0.10516380383497152</v>
      </c>
      <c r="K88" s="21">
        <v>7.759561689777611E-2</v>
      </c>
      <c r="L88" s="21">
        <v>0.12018720438282458</v>
      </c>
    </row>
    <row r="89" spans="1:12" x14ac:dyDescent="0.25">
      <c r="A89" s="2" t="s">
        <v>50</v>
      </c>
      <c r="B89" s="79"/>
      <c r="C89" s="331"/>
      <c r="D89" s="21"/>
      <c r="E89" s="21"/>
      <c r="F89" s="21"/>
      <c r="G89" s="21"/>
      <c r="H89" s="21"/>
      <c r="I89" s="331"/>
      <c r="J89" s="331"/>
      <c r="K89" s="331"/>
      <c r="L89" s="331"/>
    </row>
    <row r="90" spans="1:12" x14ac:dyDescent="0.25">
      <c r="A90" s="2" t="s">
        <v>51</v>
      </c>
      <c r="B90" s="79"/>
      <c r="C90" s="331"/>
      <c r="D90" s="21"/>
      <c r="E90" s="21"/>
      <c r="F90" s="21"/>
      <c r="G90" s="21"/>
      <c r="H90" s="21"/>
      <c r="I90" s="331"/>
      <c r="J90" s="331"/>
      <c r="K90" s="331"/>
      <c r="L90" s="331"/>
    </row>
    <row r="91" spans="1:12" x14ac:dyDescent="0.25">
      <c r="A91" s="332" t="s">
        <v>108</v>
      </c>
      <c r="B91" s="77" t="s">
        <v>199</v>
      </c>
      <c r="C91" s="21">
        <v>0.13331567677235068</v>
      </c>
      <c r="D91" s="21">
        <v>0.20654286732427818</v>
      </c>
      <c r="E91" s="21">
        <v>0.29653007932906505</v>
      </c>
      <c r="F91" s="21">
        <v>0.45940713286933604</v>
      </c>
      <c r="G91" s="21">
        <v>0.43352669931402832</v>
      </c>
      <c r="H91" s="21">
        <v>0.67165279962424007</v>
      </c>
      <c r="I91" s="21">
        <v>0.59561593058269391</v>
      </c>
      <c r="J91" s="21">
        <v>0.92277386354672075</v>
      </c>
      <c r="K91" s="21">
        <v>0.81528022188747196</v>
      </c>
      <c r="L91" s="21">
        <v>1.2630946245650829</v>
      </c>
    </row>
    <row r="92" spans="1:12" x14ac:dyDescent="0.25">
      <c r="A92" s="31" t="s">
        <v>52</v>
      </c>
      <c r="B92" s="330" t="s">
        <v>203</v>
      </c>
      <c r="C92" s="21">
        <v>0.218</v>
      </c>
      <c r="D92" s="21">
        <v>0.33774231333333332</v>
      </c>
      <c r="E92" s="21">
        <v>0.38100000000000001</v>
      </c>
      <c r="F92" s="21">
        <v>0.59027441000000003</v>
      </c>
      <c r="G92" s="21">
        <v>0.57399999999999995</v>
      </c>
      <c r="H92" s="21">
        <v>0.88928480666666643</v>
      </c>
      <c r="I92" s="21">
        <v>0.79300000000000004</v>
      </c>
      <c r="J92" s="21">
        <v>1.228576396666667</v>
      </c>
      <c r="K92" s="331">
        <v>1.036</v>
      </c>
      <c r="L92" s="21">
        <v>1.6050506266666669</v>
      </c>
    </row>
    <row r="93" spans="1:12" x14ac:dyDescent="0.25">
      <c r="A93" s="85" t="s">
        <v>52</v>
      </c>
      <c r="B93" s="77" t="s">
        <v>199</v>
      </c>
      <c r="C93" s="21">
        <v>0.18430681403256532</v>
      </c>
      <c r="D93" s="21">
        <v>0.28554224648832599</v>
      </c>
      <c r="E93" s="21">
        <v>0.46475194136522141</v>
      </c>
      <c r="F93" s="21">
        <v>0.72002933854517226</v>
      </c>
      <c r="G93" s="21">
        <v>0.64962248187758487</v>
      </c>
      <c r="H93" s="21">
        <v>1.0064449533150317</v>
      </c>
      <c r="I93" s="21">
        <v>0.93269311968610946</v>
      </c>
      <c r="J93" s="21">
        <v>1.44499968749023</v>
      </c>
      <c r="K93" s="21">
        <v>1.2235395364888055</v>
      </c>
      <c r="L93" s="21">
        <v>1.8956012546262551</v>
      </c>
    </row>
    <row r="94" spans="1:12" x14ac:dyDescent="0.25">
      <c r="A94" s="332" t="s">
        <v>194</v>
      </c>
      <c r="B94" s="77" t="s">
        <v>199</v>
      </c>
      <c r="C94" s="21">
        <v>0.21841359949394204</v>
      </c>
      <c r="D94" s="21">
        <v>0.33838309337864286</v>
      </c>
      <c r="E94" s="21">
        <v>0.51973169525491636</v>
      </c>
      <c r="F94" s="21">
        <v>0.80520818838555264</v>
      </c>
      <c r="G94" s="21">
        <v>0.75996873280127686</v>
      </c>
      <c r="H94" s="21">
        <v>1.1774018251252529</v>
      </c>
      <c r="I94" s="21">
        <v>1.0033584896898251</v>
      </c>
      <c r="J94" s="21">
        <v>1.5544798963783533</v>
      </c>
      <c r="K94" s="21">
        <v>1.3062334225151486</v>
      </c>
      <c r="L94" s="21">
        <v>2.0237169627228608</v>
      </c>
    </row>
    <row r="95" spans="1:12" x14ac:dyDescent="0.25">
      <c r="A95" s="2" t="s">
        <v>53</v>
      </c>
      <c r="B95" s="79"/>
      <c r="C95" s="331"/>
      <c r="D95" s="21"/>
      <c r="E95" s="21"/>
      <c r="F95" s="21"/>
      <c r="G95" s="21"/>
      <c r="H95" s="21"/>
      <c r="I95" s="331"/>
      <c r="J95" s="21"/>
      <c r="K95" s="331"/>
      <c r="L95" s="331"/>
    </row>
    <row r="96" spans="1:12" x14ac:dyDescent="0.25">
      <c r="A96" s="332" t="s">
        <v>54</v>
      </c>
      <c r="B96" s="77" t="s">
        <v>199</v>
      </c>
      <c r="C96" s="21">
        <v>0.1588783245860548</v>
      </c>
      <c r="D96" s="21">
        <v>0.35046440026022546</v>
      </c>
      <c r="E96" s="21">
        <v>0.33067416033692204</v>
      </c>
      <c r="F96" s="21">
        <v>0.72942310781520503</v>
      </c>
      <c r="G96" s="21">
        <v>0.52057743788682687</v>
      </c>
      <c r="H96" s="21">
        <v>1.1483244176532885</v>
      </c>
      <c r="I96" s="21">
        <v>0.61808392924993483</v>
      </c>
      <c r="J96" s="21">
        <v>1.3634107367347896</v>
      </c>
      <c r="K96" s="21">
        <v>0.84738961741264107</v>
      </c>
      <c r="L96" s="21">
        <v>1.8692285107299644</v>
      </c>
    </row>
    <row r="97" spans="1:12" x14ac:dyDescent="0.25">
      <c r="A97" s="332" t="s">
        <v>195</v>
      </c>
      <c r="B97" s="77" t="s">
        <v>199</v>
      </c>
      <c r="C97" s="21">
        <v>0.33402828749429769</v>
      </c>
      <c r="D97" s="21">
        <v>0.34624258854033912</v>
      </c>
      <c r="E97" s="21">
        <v>0.61179325145087948</v>
      </c>
      <c r="F97" s="21">
        <v>0.63416449134559993</v>
      </c>
      <c r="G97" s="21">
        <v>1.2507329958097388</v>
      </c>
      <c r="H97" s="21">
        <v>1.2964681323565146</v>
      </c>
      <c r="I97" s="21">
        <v>2.7761715625814669</v>
      </c>
      <c r="J97" s="21">
        <v>2.8776869027198626</v>
      </c>
      <c r="K97" s="21">
        <v>3.2847516435067581</v>
      </c>
      <c r="L97" s="21">
        <v>3.4048640619376549</v>
      </c>
    </row>
    <row r="98" spans="1:12" x14ac:dyDescent="0.25">
      <c r="A98" s="2" t="s">
        <v>55</v>
      </c>
      <c r="B98" s="79"/>
      <c r="C98" s="21"/>
      <c r="D98" s="21"/>
      <c r="E98" s="21"/>
      <c r="F98" s="21"/>
      <c r="G98" s="21"/>
      <c r="H98" s="331"/>
      <c r="I98" s="331"/>
      <c r="J98" s="331"/>
      <c r="K98" s="331"/>
      <c r="L98" s="21"/>
    </row>
    <row r="99" spans="1:12" x14ac:dyDescent="0.25">
      <c r="A99" s="332" t="s">
        <v>165</v>
      </c>
      <c r="B99" s="77" t="s">
        <v>199</v>
      </c>
      <c r="C99" s="21">
        <v>1.7875108881303933E-2</v>
      </c>
      <c r="D99" s="21">
        <v>4.8828839094095237E-2</v>
      </c>
      <c r="E99" s="21">
        <v>2.2343886101629917E-2</v>
      </c>
      <c r="F99" s="21">
        <v>6.1036048867619055E-2</v>
      </c>
      <c r="G99" s="21">
        <v>4.6570343702280768E-2</v>
      </c>
      <c r="H99" s="21">
        <v>0.12721465554673028</v>
      </c>
      <c r="I99" s="21">
        <v>5.4332067652660895E-2</v>
      </c>
      <c r="J99" s="21">
        <v>0.148417098137852</v>
      </c>
      <c r="K99" s="21">
        <v>6.2093791603041029E-2</v>
      </c>
      <c r="L99" s="21">
        <v>0.16961954072897373</v>
      </c>
    </row>
    <row r="100" spans="1:12" x14ac:dyDescent="0.25">
      <c r="A100" s="31" t="s">
        <v>57</v>
      </c>
      <c r="B100" s="330" t="s">
        <v>203</v>
      </c>
      <c r="C100" s="21">
        <v>3.5333333333333328E-2</v>
      </c>
      <c r="D100" s="21">
        <v>9.7572823333333336E-2</v>
      </c>
      <c r="E100" s="21">
        <v>4.4166666666666667E-2</v>
      </c>
      <c r="F100" s="21">
        <v>0.12196602916666668</v>
      </c>
      <c r="G100" s="21">
        <v>5.2999999999999999E-2</v>
      </c>
      <c r="H100" s="21">
        <v>0.146359235</v>
      </c>
      <c r="I100" s="21">
        <v>6.183333333333333E-2</v>
      </c>
      <c r="J100" s="21">
        <v>0.17075244083333332</v>
      </c>
      <c r="K100" s="331">
        <v>7.0666666666666655E-2</v>
      </c>
      <c r="L100" s="21">
        <v>0.19514564666666667</v>
      </c>
    </row>
    <row r="101" spans="1:12" x14ac:dyDescent="0.25">
      <c r="A101" s="85" t="s">
        <v>57</v>
      </c>
      <c r="B101" s="77" t="s">
        <v>199</v>
      </c>
      <c r="C101" s="21">
        <v>1.4848292609940923E-2</v>
      </c>
      <c r="D101" s="21">
        <v>4.1003485800888813E-2</v>
      </c>
      <c r="E101" s="21">
        <v>1.8560365762426152E-2</v>
      </c>
      <c r="F101" s="21">
        <v>5.1254357251111014E-2</v>
      </c>
      <c r="G101" s="21">
        <v>3.5327485281266127E-2</v>
      </c>
      <c r="H101" s="21">
        <v>9.7556673966789992E-2</v>
      </c>
      <c r="I101" s="21">
        <v>4.1215399494810484E-2</v>
      </c>
      <c r="J101" s="21">
        <v>0.11381611962792167</v>
      </c>
      <c r="K101" s="21">
        <v>4.7103313708354841E-2</v>
      </c>
      <c r="L101" s="21">
        <v>0.13007556528905334</v>
      </c>
    </row>
    <row r="102" spans="1:12" x14ac:dyDescent="0.25">
      <c r="A102" s="286" t="s">
        <v>58</v>
      </c>
      <c r="B102" s="246" t="s">
        <v>199</v>
      </c>
      <c r="C102" s="21">
        <f>'[1]Q.ilex_Q.suber y Larix'!B3</f>
        <v>1.5489841521071678E-2</v>
      </c>
      <c r="D102" s="21">
        <f>'Q.ilex_Q.suber y Larix'!C3</f>
        <v>4.8090381579979975E-2</v>
      </c>
      <c r="E102" s="21">
        <f>'Q.ilex_Q.suber y Larix'!D3</f>
        <v>1.9362301901339599E-2</v>
      </c>
      <c r="F102" s="21">
        <f>'Q.ilex_Q.suber y Larix'!E3</f>
        <v>6.0112976974974974E-2</v>
      </c>
      <c r="G102" s="21">
        <f>'Q.ilex_Q.suber y Larix'!F3</f>
        <v>2.3234762281607518E-2</v>
      </c>
      <c r="H102" s="21">
        <f>'Q.ilex_Q.suber y Larix'!G3</f>
        <v>7.2135572369969952E-2</v>
      </c>
      <c r="I102" s="21">
        <f>'Q.ilex_Q.suber y Larix'!H3</f>
        <v>2.7107222661875437E-2</v>
      </c>
      <c r="J102" s="21">
        <f>'Q.ilex_Q.suber y Larix'!I3</f>
        <v>8.4158167764964945E-2</v>
      </c>
      <c r="K102" s="21">
        <f>'Q.ilex_Q.suber y Larix'!J3</f>
        <v>3.0979683042143356E-2</v>
      </c>
      <c r="L102" s="21">
        <f>'Q.ilex_Q.suber y Larix'!K3</f>
        <v>9.6180763159959951E-2</v>
      </c>
    </row>
    <row r="103" spans="1:12" x14ac:dyDescent="0.25">
      <c r="A103" s="31" t="s">
        <v>59</v>
      </c>
      <c r="B103" s="330" t="s">
        <v>203</v>
      </c>
      <c r="C103" s="21">
        <v>3.7999999999999999E-2</v>
      </c>
      <c r="D103" s="21">
        <v>7.9411640000000006E-2</v>
      </c>
      <c r="E103" s="21">
        <v>4.7500000000000001E-2</v>
      </c>
      <c r="F103" s="21">
        <v>9.9264549999999993E-2</v>
      </c>
      <c r="G103" s="21">
        <v>5.7000000000000002E-2</v>
      </c>
      <c r="H103" s="21">
        <v>0.11911745999999999</v>
      </c>
      <c r="I103" s="21">
        <v>6.6500000000000004E-2</v>
      </c>
      <c r="J103" s="21">
        <v>0.13897037000000001</v>
      </c>
      <c r="K103" s="331">
        <v>7.5999999999999998E-2</v>
      </c>
      <c r="L103" s="21">
        <v>0.15882328000000001</v>
      </c>
    </row>
    <row r="104" spans="1:12" x14ac:dyDescent="0.25">
      <c r="A104" s="85" t="s">
        <v>59</v>
      </c>
      <c r="B104" s="77" t="s">
        <v>199</v>
      </c>
      <c r="C104" s="21">
        <v>2.6624296652618271E-2</v>
      </c>
      <c r="D104" s="21">
        <v>5.5638922658708602E-2</v>
      </c>
      <c r="E104" s="21">
        <v>3.3280370815772835E-2</v>
      </c>
      <c r="F104" s="21">
        <v>6.9548653323385751E-2</v>
      </c>
      <c r="G104" s="21">
        <v>8.5655255515471082E-2</v>
      </c>
      <c r="H104" s="21">
        <v>0.17900063987112114</v>
      </c>
      <c r="I104" s="21">
        <v>9.9931131434716255E-2</v>
      </c>
      <c r="J104" s="21">
        <v>0.20883407984964134</v>
      </c>
      <c r="K104" s="21">
        <v>0.11420700735396144</v>
      </c>
      <c r="L104" s="21">
        <v>0.23866751982816153</v>
      </c>
    </row>
    <row r="105" spans="1:12" x14ac:dyDescent="0.25">
      <c r="A105" s="332" t="s">
        <v>60</v>
      </c>
      <c r="B105" s="77" t="s">
        <v>199</v>
      </c>
      <c r="C105" s="21">
        <v>3.0960646267520889E-2</v>
      </c>
      <c r="D105" s="21">
        <v>6.8552185747233832E-2</v>
      </c>
      <c r="E105" s="21">
        <v>5.5535418063081127E-2</v>
      </c>
      <c r="F105" s="21">
        <v>0.12296494917176243</v>
      </c>
      <c r="G105" s="21">
        <v>6.6642501675697352E-2</v>
      </c>
      <c r="H105" s="21">
        <v>0.14755793900611491</v>
      </c>
      <c r="I105" s="21">
        <v>0.10425333573826619</v>
      </c>
      <c r="J105" s="21">
        <v>0.23083478214715636</v>
      </c>
      <c r="K105" s="21">
        <v>0.11914666941516135</v>
      </c>
      <c r="L105" s="21">
        <v>0.26381117959675016</v>
      </c>
    </row>
    <row r="106" spans="1:12" x14ac:dyDescent="0.25">
      <c r="A106" s="31" t="s">
        <v>61</v>
      </c>
      <c r="B106" s="330" t="s">
        <v>203</v>
      </c>
      <c r="C106" s="21">
        <v>3.8399999999999997E-2</v>
      </c>
      <c r="D106" s="21">
        <v>0.10572883199999998</v>
      </c>
      <c r="E106" s="21">
        <v>4.8000000000000001E-2</v>
      </c>
      <c r="F106" s="21">
        <v>0.13216104000000001</v>
      </c>
      <c r="G106" s="21">
        <v>5.7599999999999991E-2</v>
      </c>
      <c r="H106" s="21">
        <v>0.15859324799999999</v>
      </c>
      <c r="I106" s="21">
        <v>6.720000000000001E-2</v>
      </c>
      <c r="J106" s="21">
        <v>0.18502545600000006</v>
      </c>
      <c r="K106" s="331">
        <v>7.6799999999999993E-2</v>
      </c>
      <c r="L106" s="21">
        <v>0.21145766399999996</v>
      </c>
    </row>
    <row r="107" spans="1:12" x14ac:dyDescent="0.25">
      <c r="A107" s="85" t="s">
        <v>61</v>
      </c>
      <c r="B107" s="77" t="s">
        <v>199</v>
      </c>
      <c r="C107" s="21">
        <v>1.9354648683058993E-2</v>
      </c>
      <c r="D107" s="21">
        <v>5.3290218724743897E-2</v>
      </c>
      <c r="E107" s="21">
        <v>2.4193310853823743E-2</v>
      </c>
      <c r="F107" s="21">
        <v>6.6612773405929887E-2</v>
      </c>
      <c r="G107" s="21">
        <v>5.3727881844045491E-2</v>
      </c>
      <c r="H107" s="21">
        <v>0.14793193211471187</v>
      </c>
      <c r="I107" s="21">
        <v>6.2682528818053071E-2</v>
      </c>
      <c r="J107" s="21">
        <v>0.17258725413383053</v>
      </c>
      <c r="K107" s="21">
        <v>7.1637175792060651E-2</v>
      </c>
      <c r="L107" s="21">
        <v>0.19724257615294916</v>
      </c>
    </row>
    <row r="108" spans="1:12" x14ac:dyDescent="0.25">
      <c r="A108" s="30" t="s">
        <v>62</v>
      </c>
      <c r="B108" s="80" t="s">
        <v>227</v>
      </c>
      <c r="C108" s="21"/>
      <c r="D108" s="21">
        <v>2.4741729460580914E-2</v>
      </c>
      <c r="E108" s="21"/>
      <c r="F108" s="21">
        <v>4.2108132132132131E-2</v>
      </c>
      <c r="G108" s="21"/>
      <c r="H108" s="21">
        <v>9.8011439904799699E-2</v>
      </c>
      <c r="I108" s="21"/>
      <c r="J108" s="21">
        <v>0.2209103448275862</v>
      </c>
      <c r="K108" s="21"/>
      <c r="L108" s="21">
        <v>0.4726752487309645</v>
      </c>
    </row>
    <row r="109" spans="1:12" x14ac:dyDescent="0.25">
      <c r="A109" s="31" t="s">
        <v>62</v>
      </c>
      <c r="B109" s="330" t="s">
        <v>203</v>
      </c>
      <c r="C109" s="21">
        <v>5.6500000000000002E-2</v>
      </c>
      <c r="D109" s="21">
        <v>0.11807257</v>
      </c>
      <c r="E109" s="21">
        <v>7.0624999999999993E-2</v>
      </c>
      <c r="F109" s="21">
        <v>0.1475907125</v>
      </c>
      <c r="G109" s="21">
        <v>8.4750000000000006E-2</v>
      </c>
      <c r="H109" s="21">
        <v>0.17710885500000004</v>
      </c>
      <c r="I109" s="21">
        <v>9.8875000000000005E-2</v>
      </c>
      <c r="J109" s="21">
        <v>0.20662699749999999</v>
      </c>
      <c r="K109" s="331">
        <v>0.113</v>
      </c>
      <c r="L109" s="21">
        <v>0.23614514</v>
      </c>
    </row>
    <row r="110" spans="1:12" x14ac:dyDescent="0.25">
      <c r="A110" s="85" t="s">
        <v>62</v>
      </c>
      <c r="B110" s="77" t="s">
        <v>199</v>
      </c>
      <c r="C110" s="21">
        <v>3.3837493759715447E-2</v>
      </c>
      <c r="D110" s="21">
        <v>7.0712917709178133E-2</v>
      </c>
      <c r="E110" s="21">
        <v>7.6750370757631942E-2</v>
      </c>
      <c r="F110" s="21">
        <v>0.16039138980188405</v>
      </c>
      <c r="G110" s="21">
        <v>9.2100444909158335E-2</v>
      </c>
      <c r="H110" s="21">
        <v>0.1924696677622609</v>
      </c>
      <c r="I110" s="21">
        <v>0.10745051906068473</v>
      </c>
      <c r="J110" s="21">
        <v>0.2245479457226377</v>
      </c>
      <c r="K110" s="21">
        <v>0.16228837751151071</v>
      </c>
      <c r="L110" s="21">
        <v>0.3391470055560048</v>
      </c>
    </row>
    <row r="111" spans="1:12" x14ac:dyDescent="0.25">
      <c r="A111" s="127" t="s">
        <v>62</v>
      </c>
      <c r="B111" s="126" t="s">
        <v>231</v>
      </c>
      <c r="C111" s="21"/>
      <c r="D111" s="21">
        <v>3.3775316398753537E-2</v>
      </c>
      <c r="E111" s="21"/>
      <c r="F111" s="21">
        <v>5.9661138638327713E-2</v>
      </c>
      <c r="G111" s="21"/>
      <c r="H111" s="21">
        <v>0.1188606916457756</v>
      </c>
      <c r="I111" s="21"/>
      <c r="J111" s="21">
        <v>0.21498591506157547</v>
      </c>
      <c r="K111" s="21"/>
      <c r="L111" s="21">
        <v>0.34811559038749534</v>
      </c>
    </row>
    <row r="112" spans="1:12" x14ac:dyDescent="0.25">
      <c r="A112" s="332" t="s">
        <v>98</v>
      </c>
      <c r="B112" s="77" t="s">
        <v>199</v>
      </c>
      <c r="C112" s="21">
        <v>3.6271193707291177E-2</v>
      </c>
      <c r="D112" s="21">
        <v>7.2189347795831374E-2</v>
      </c>
      <c r="E112" s="21">
        <v>9.2760006106566914E-2</v>
      </c>
      <c r="F112" s="21">
        <v>0.18461714815369659</v>
      </c>
      <c r="G112" s="21">
        <v>0.1113120073278803</v>
      </c>
      <c r="H112" s="21">
        <v>0.22154057778443589</v>
      </c>
      <c r="I112" s="21">
        <v>0.1744750679670522</v>
      </c>
      <c r="J112" s="21">
        <v>0.34725191193922511</v>
      </c>
      <c r="K112" s="21">
        <v>0.19940007767663109</v>
      </c>
      <c r="L112" s="21">
        <v>0.39685932793054296</v>
      </c>
    </row>
    <row r="113" spans="1:12" x14ac:dyDescent="0.25">
      <c r="A113" s="286" t="s">
        <v>104</v>
      </c>
      <c r="B113" s="246" t="s">
        <v>199</v>
      </c>
      <c r="C113" s="21">
        <f>'[1]Q.ilex_Q.suber y Larix'!B4</f>
        <v>2.3871095636996648E-2</v>
      </c>
      <c r="D113" s="21">
        <f>'Q.ilex_Q.suber y Larix'!C4</f>
        <v>7.411115835844527E-2</v>
      </c>
      <c r="E113" s="21">
        <f>'Q.ilex_Q.suber y Larix'!D4</f>
        <v>2.983886954624581E-2</v>
      </c>
      <c r="F113" s="21">
        <f>'Q.ilex_Q.suber y Larix'!E4</f>
        <v>9.2638947948056591E-2</v>
      </c>
      <c r="G113" s="21">
        <f>'Q.ilex_Q.suber y Larix'!F4</f>
        <v>3.5806643455494974E-2</v>
      </c>
      <c r="H113" s="21">
        <f>'Q.ilex_Q.suber y Larix'!G4</f>
        <v>0.11116673753766791</v>
      </c>
      <c r="I113" s="21">
        <f>'Q.ilex_Q.suber y Larix'!H4</f>
        <v>4.1774417364744132E-2</v>
      </c>
      <c r="J113" s="21">
        <f>'Q.ilex_Q.suber y Larix'!I4</f>
        <v>0.12969452712727922</v>
      </c>
      <c r="K113" s="21">
        <f>'Q.ilex_Q.suber y Larix'!J4</f>
        <v>4.7742191273993297E-2</v>
      </c>
      <c r="L113" s="21">
        <f>'Q.ilex_Q.suber y Larix'!K4</f>
        <v>0.14822231671689054</v>
      </c>
    </row>
    <row r="114" spans="1:12" x14ac:dyDescent="0.25">
      <c r="A114" s="2" t="s">
        <v>63</v>
      </c>
      <c r="B114" s="79"/>
      <c r="C114" s="21"/>
      <c r="D114" s="21"/>
      <c r="E114" s="21"/>
      <c r="F114" s="21"/>
      <c r="G114" s="21"/>
      <c r="H114" s="21"/>
      <c r="I114" s="21"/>
      <c r="J114" s="21"/>
      <c r="K114" s="21"/>
      <c r="L114" s="21"/>
    </row>
    <row r="115" spans="1:12" x14ac:dyDescent="0.25">
      <c r="A115" s="332" t="s">
        <v>64</v>
      </c>
      <c r="B115" s="77" t="s">
        <v>199</v>
      </c>
      <c r="C115" s="21">
        <v>2.7231583871240757E-2</v>
      </c>
      <c r="D115" s="21">
        <v>6.0069243142107612E-2</v>
      </c>
      <c r="E115" s="21">
        <v>7.221104985622355E-2</v>
      </c>
      <c r="F115" s="21">
        <v>0.15928794784284833</v>
      </c>
      <c r="G115" s="21">
        <v>8.6653259827468271E-2</v>
      </c>
      <c r="H115" s="21">
        <v>0.19114553741141802</v>
      </c>
      <c r="I115" s="21">
        <v>0.15598954072599311</v>
      </c>
      <c r="J115" s="21">
        <v>0.34409212823611068</v>
      </c>
      <c r="K115" s="21">
        <v>0.17827376082970639</v>
      </c>
      <c r="L115" s="21">
        <v>0.39324814655555496</v>
      </c>
    </row>
    <row r="116" spans="1:12" x14ac:dyDescent="0.25">
      <c r="A116" s="332" t="s">
        <v>196</v>
      </c>
      <c r="B116" s="77" t="s">
        <v>199</v>
      </c>
      <c r="C116" s="21">
        <v>0.13993173246654608</v>
      </c>
      <c r="D116" s="21">
        <v>0.3086707442568718</v>
      </c>
      <c r="E116" s="21">
        <v>0.26066265362298341</v>
      </c>
      <c r="F116" s="21">
        <v>0.57498705887181834</v>
      </c>
      <c r="G116" s="21">
        <v>0.40603515156448039</v>
      </c>
      <c r="H116" s="21">
        <v>0.89565940633103525</v>
      </c>
      <c r="I116" s="21">
        <v>0.56415193613376724</v>
      </c>
      <c r="J116" s="21">
        <v>1.2444439508529392</v>
      </c>
      <c r="K116" s="21">
        <v>0.61922533725760553</v>
      </c>
      <c r="L116" s="21">
        <v>1.3659285306119766</v>
      </c>
    </row>
    <row r="117" spans="1:12" x14ac:dyDescent="0.25">
      <c r="A117" s="2" t="s">
        <v>65</v>
      </c>
      <c r="B117" s="79"/>
      <c r="C117" s="21"/>
      <c r="D117" s="21"/>
      <c r="E117" s="21"/>
      <c r="F117" s="21"/>
      <c r="G117" s="21"/>
      <c r="H117" s="21"/>
      <c r="I117" s="21"/>
      <c r="J117" s="21"/>
      <c r="K117" s="21"/>
      <c r="L117" s="21"/>
    </row>
    <row r="118" spans="1:12" x14ac:dyDescent="0.25">
      <c r="A118" s="332" t="s">
        <v>67</v>
      </c>
      <c r="B118" s="77" t="s">
        <v>199</v>
      </c>
      <c r="C118" s="21">
        <v>6.2140816833345464E-2</v>
      </c>
      <c r="D118" s="21">
        <v>0.16514543481629892</v>
      </c>
      <c r="E118" s="21">
        <v>7.7676021041681836E-2</v>
      </c>
      <c r="F118" s="21">
        <v>0.20643179352037366</v>
      </c>
      <c r="G118" s="21">
        <v>9.3211225250018195E-2</v>
      </c>
      <c r="H118" s="21">
        <v>0.24771815222444837</v>
      </c>
      <c r="I118" s="21">
        <v>0.10874642945835457</v>
      </c>
      <c r="J118" s="21">
        <v>0.28900451092852308</v>
      </c>
      <c r="K118" s="21">
        <v>0.12428163366669093</v>
      </c>
      <c r="L118" s="21">
        <v>0.33029086963259785</v>
      </c>
    </row>
    <row r="119" spans="1:12" x14ac:dyDescent="0.25">
      <c r="A119" s="332" t="s">
        <v>197</v>
      </c>
      <c r="B119" s="77" t="s">
        <v>199</v>
      </c>
      <c r="C119" s="21">
        <v>1.4552614868954362E-2</v>
      </c>
      <c r="D119" s="21">
        <v>2.8664770594541707E-2</v>
      </c>
      <c r="E119" s="21">
        <v>3.3820935737924614E-2</v>
      </c>
      <c r="F119" s="21">
        <v>6.6618224487514713E-2</v>
      </c>
      <c r="G119" s="21">
        <v>4.0585122885509535E-2</v>
      </c>
      <c r="H119" s="21">
        <v>7.9941869385017642E-2</v>
      </c>
      <c r="I119" s="21">
        <v>7.1138125670237848E-2</v>
      </c>
      <c r="J119" s="21">
        <v>0.14012313740352317</v>
      </c>
      <c r="K119" s="21">
        <v>8.1300715051700403E-2</v>
      </c>
      <c r="L119" s="21">
        <v>0.16014072846116933</v>
      </c>
    </row>
    <row r="120" spans="1:12" x14ac:dyDescent="0.25">
      <c r="A120" s="2" t="s">
        <v>69</v>
      </c>
      <c r="B120" s="79"/>
      <c r="C120" s="21"/>
      <c r="D120" s="21"/>
      <c r="E120" s="21"/>
      <c r="F120" s="21"/>
      <c r="G120" s="21"/>
      <c r="H120" s="21"/>
      <c r="I120" s="21"/>
      <c r="J120" s="21"/>
      <c r="K120" s="21"/>
      <c r="L120" s="21"/>
    </row>
    <row r="121" spans="1:12" x14ac:dyDescent="0.25">
      <c r="A121" s="2" t="s">
        <v>70</v>
      </c>
      <c r="B121" s="79"/>
      <c r="C121" s="21"/>
      <c r="D121" s="21"/>
      <c r="E121" s="21"/>
      <c r="F121" s="21"/>
      <c r="G121" s="21"/>
      <c r="H121" s="21"/>
      <c r="I121" s="21"/>
      <c r="J121" s="21"/>
      <c r="K121" s="21"/>
      <c r="L121" s="21"/>
    </row>
    <row r="122" spans="1:12" x14ac:dyDescent="0.25">
      <c r="A122" s="336" t="s">
        <v>71</v>
      </c>
      <c r="B122" s="337"/>
      <c r="C122" s="21"/>
      <c r="D122" s="21"/>
      <c r="E122" s="21"/>
      <c r="F122" s="21"/>
      <c r="G122" s="21"/>
      <c r="H122" s="21"/>
      <c r="I122" s="21"/>
      <c r="J122" s="21"/>
      <c r="K122" s="21"/>
      <c r="L122" s="21"/>
    </row>
    <row r="123" spans="1:12" x14ac:dyDescent="0.25">
      <c r="A123" s="332" t="s">
        <v>72</v>
      </c>
      <c r="B123" s="77" t="s">
        <v>199</v>
      </c>
      <c r="C123" s="21">
        <v>2.6976298890617898E-2</v>
      </c>
      <c r="D123" s="21">
        <v>5.1766168756151212E-2</v>
      </c>
      <c r="E123" s="21">
        <v>3.295231159662796E-2</v>
      </c>
      <c r="F123" s="21">
        <v>6.3233838338349224E-2</v>
      </c>
      <c r="G123" s="21">
        <v>4.5592134029955503E-2</v>
      </c>
      <c r="H123" s="21">
        <v>8.7489025596783121E-2</v>
      </c>
      <c r="I123" s="21">
        <v>6.0733508148132463E-2</v>
      </c>
      <c r="J123" s="21">
        <v>0.1165445654608588</v>
      </c>
      <c r="K123" s="21">
        <v>6.9409723597865666E-2</v>
      </c>
      <c r="L123" s="21">
        <v>0.13319378909812432</v>
      </c>
    </row>
    <row r="124" spans="1:12" x14ac:dyDescent="0.25">
      <c r="A124" s="23" t="s">
        <v>73</v>
      </c>
      <c r="B124" s="330" t="s">
        <v>203</v>
      </c>
      <c r="C124" s="21">
        <v>7.2666666666666671E-2</v>
      </c>
      <c r="D124" s="21">
        <v>0.18032959999999998</v>
      </c>
      <c r="E124" s="21">
        <v>9.0833333333333335E-2</v>
      </c>
      <c r="F124" s="21">
        <v>0.225412</v>
      </c>
      <c r="G124" s="21">
        <v>0.109</v>
      </c>
      <c r="H124" s="21">
        <v>0.27049440000000002</v>
      </c>
      <c r="I124" s="21">
        <v>0.20300000000000001</v>
      </c>
      <c r="J124" s="21">
        <v>0.50376480000000001</v>
      </c>
      <c r="K124" s="331">
        <v>0.23200000000000001</v>
      </c>
      <c r="L124" s="21">
        <v>0.5757312</v>
      </c>
    </row>
    <row r="126" spans="1:12" x14ac:dyDescent="0.25">
      <c r="A126" s="338" t="s">
        <v>275</v>
      </c>
    </row>
    <row r="127" spans="1:12" x14ac:dyDescent="0.25">
      <c r="A127" s="338"/>
    </row>
    <row r="128" spans="1:12" x14ac:dyDescent="0.25">
      <c r="A128" s="152" t="s">
        <v>81</v>
      </c>
    </row>
    <row r="129" spans="1:4" x14ac:dyDescent="0.25">
      <c r="A129" s="153" t="s">
        <v>128</v>
      </c>
    </row>
    <row r="130" spans="1:4" x14ac:dyDescent="0.25">
      <c r="A130" s="154" t="s">
        <v>202</v>
      </c>
      <c r="B130" s="78"/>
    </row>
    <row r="131" spans="1:4" x14ac:dyDescent="0.25">
      <c r="A131" s="155" t="s">
        <v>85</v>
      </c>
      <c r="B131" s="78"/>
    </row>
    <row r="132" spans="1:4" ht="45" x14ac:dyDescent="0.25">
      <c r="A132" s="238" t="s">
        <v>414</v>
      </c>
    </row>
    <row r="133" spans="1:4" x14ac:dyDescent="0.25">
      <c r="A133" s="339"/>
    </row>
    <row r="134" spans="1:4" x14ac:dyDescent="0.25">
      <c r="A134" s="338" t="s">
        <v>204</v>
      </c>
    </row>
    <row r="135" spans="1:4" x14ac:dyDescent="0.25">
      <c r="A135" s="338"/>
    </row>
    <row r="136" spans="1:4" x14ac:dyDescent="0.25">
      <c r="A136" s="338" t="s">
        <v>205</v>
      </c>
      <c r="D136" s="83"/>
    </row>
    <row r="137" spans="1:4" x14ac:dyDescent="0.25">
      <c r="A137" s="338"/>
      <c r="D137" s="83"/>
    </row>
    <row r="138" spans="1:4" x14ac:dyDescent="0.25">
      <c r="A138" s="340" t="s">
        <v>243</v>
      </c>
      <c r="B138" s="338"/>
      <c r="C138" s="327" t="s">
        <v>207</v>
      </c>
      <c r="D138" s="83"/>
    </row>
    <row r="139" spans="1:4" x14ac:dyDescent="0.25">
      <c r="A139" s="338"/>
      <c r="B139" s="338"/>
      <c r="D139" s="83"/>
    </row>
    <row r="140" spans="1:4" x14ac:dyDescent="0.25">
      <c r="A140" s="341" t="s">
        <v>245</v>
      </c>
      <c r="B140" s="341" t="s">
        <v>246</v>
      </c>
      <c r="D140" s="83"/>
    </row>
    <row r="141" spans="1:4" x14ac:dyDescent="0.25">
      <c r="A141" s="342" t="s">
        <v>6</v>
      </c>
      <c r="B141" s="343" t="s">
        <v>247</v>
      </c>
      <c r="D141" s="83"/>
    </row>
    <row r="142" spans="1:4" x14ac:dyDescent="0.25">
      <c r="A142" s="342" t="s">
        <v>47</v>
      </c>
      <c r="B142" s="343" t="s">
        <v>248</v>
      </c>
      <c r="D142" s="83"/>
    </row>
    <row r="143" spans="1:4" x14ac:dyDescent="0.25">
      <c r="A143" s="342" t="s">
        <v>1</v>
      </c>
      <c r="B143" s="343" t="s">
        <v>16</v>
      </c>
      <c r="D143" s="83"/>
    </row>
    <row r="144" spans="1:4" x14ac:dyDescent="0.25">
      <c r="A144" s="342" t="s">
        <v>57</v>
      </c>
      <c r="B144" s="343" t="s">
        <v>58</v>
      </c>
      <c r="D144" s="83"/>
    </row>
    <row r="145" spans="1:4" x14ac:dyDescent="0.25">
      <c r="A145" s="342" t="s">
        <v>251</v>
      </c>
      <c r="B145" s="343" t="s">
        <v>13</v>
      </c>
      <c r="D145" s="83"/>
    </row>
    <row r="146" spans="1:4" x14ac:dyDescent="0.25">
      <c r="A146" s="342" t="s">
        <v>1</v>
      </c>
      <c r="B146" s="343" t="s">
        <v>249</v>
      </c>
      <c r="D146" s="83"/>
    </row>
    <row r="147" spans="1:4" x14ac:dyDescent="0.25">
      <c r="A147" s="342" t="s">
        <v>1</v>
      </c>
      <c r="B147" s="343" t="s">
        <v>64</v>
      </c>
    </row>
    <row r="148" spans="1:4" x14ac:dyDescent="0.25">
      <c r="A148" s="342" t="s">
        <v>73</v>
      </c>
      <c r="B148" s="343" t="s">
        <v>36</v>
      </c>
    </row>
    <row r="149" spans="1:4" x14ac:dyDescent="0.25">
      <c r="A149" s="344" t="s">
        <v>255</v>
      </c>
      <c r="B149" s="345" t="s">
        <v>105</v>
      </c>
    </row>
    <row r="150" spans="1:4" x14ac:dyDescent="0.25">
      <c r="A150" s="344" t="s">
        <v>52</v>
      </c>
      <c r="B150" s="345" t="s">
        <v>253</v>
      </c>
    </row>
    <row r="151" spans="1:4" x14ac:dyDescent="0.25">
      <c r="A151" s="344" t="s">
        <v>52</v>
      </c>
      <c r="B151" s="345" t="s">
        <v>108</v>
      </c>
    </row>
    <row r="152" spans="1:4" x14ac:dyDescent="0.25">
      <c r="A152" s="344" t="s">
        <v>255</v>
      </c>
      <c r="B152" s="345" t="s">
        <v>257</v>
      </c>
    </row>
    <row r="153" spans="1:4" x14ac:dyDescent="0.25">
      <c r="A153" s="344" t="s">
        <v>6</v>
      </c>
      <c r="B153" s="345" t="s">
        <v>260</v>
      </c>
    </row>
    <row r="154" spans="1:4" x14ac:dyDescent="0.25">
      <c r="A154" s="342" t="s">
        <v>6</v>
      </c>
      <c r="B154" s="345" t="s">
        <v>8</v>
      </c>
    </row>
    <row r="155" spans="1:4" x14ac:dyDescent="0.25">
      <c r="A155" s="342" t="s">
        <v>73</v>
      </c>
      <c r="B155" s="345" t="s">
        <v>261</v>
      </c>
    </row>
    <row r="156" spans="1:4" x14ac:dyDescent="0.25">
      <c r="A156" s="346" t="s">
        <v>259</v>
      </c>
      <c r="B156" s="345" t="s">
        <v>22</v>
      </c>
    </row>
    <row r="157" spans="1:4" x14ac:dyDescent="0.25">
      <c r="A157" s="342" t="s">
        <v>61</v>
      </c>
      <c r="B157" s="345" t="s">
        <v>104</v>
      </c>
    </row>
    <row r="158" spans="1:4" x14ac:dyDescent="0.25">
      <c r="A158" s="342" t="s">
        <v>59</v>
      </c>
      <c r="B158" s="345" t="s">
        <v>171</v>
      </c>
    </row>
    <row r="159" spans="1:4" x14ac:dyDescent="0.25">
      <c r="A159" s="342" t="s">
        <v>59</v>
      </c>
      <c r="B159" s="345" t="s">
        <v>157</v>
      </c>
    </row>
    <row r="160" spans="1:4" x14ac:dyDescent="0.25">
      <c r="A160" s="344" t="s">
        <v>255</v>
      </c>
      <c r="B160" s="345" t="s">
        <v>190</v>
      </c>
    </row>
    <row r="161" spans="1:2" x14ac:dyDescent="0.25">
      <c r="A161" s="344" t="s">
        <v>255</v>
      </c>
      <c r="B161" s="345" t="s">
        <v>190</v>
      </c>
    </row>
    <row r="162" spans="1:2" x14ac:dyDescent="0.25">
      <c r="A162" s="342" t="s">
        <v>59</v>
      </c>
      <c r="B162" s="345" t="s">
        <v>263</v>
      </c>
    </row>
    <row r="163" spans="1:2" x14ac:dyDescent="0.25">
      <c r="A163" s="342" t="s">
        <v>107</v>
      </c>
      <c r="B163" s="345" t="s">
        <v>35</v>
      </c>
    </row>
    <row r="164" spans="1:2" x14ac:dyDescent="0.25">
      <c r="A164" s="344" t="s">
        <v>2</v>
      </c>
      <c r="B164" s="345" t="s">
        <v>141</v>
      </c>
    </row>
    <row r="165" spans="1:2" x14ac:dyDescent="0.25">
      <c r="A165" s="344" t="s">
        <v>52</v>
      </c>
      <c r="B165" s="345" t="s">
        <v>194</v>
      </c>
    </row>
    <row r="166" spans="1:2" x14ac:dyDescent="0.25">
      <c r="A166" s="342" t="s">
        <v>107</v>
      </c>
      <c r="B166" s="345" t="s">
        <v>193</v>
      </c>
    </row>
    <row r="167" spans="1:2" x14ac:dyDescent="0.25">
      <c r="A167" s="342" t="s">
        <v>1</v>
      </c>
      <c r="B167" s="344" t="s">
        <v>39</v>
      </c>
    </row>
    <row r="168" spans="1:2" x14ac:dyDescent="0.25">
      <c r="A168" s="342" t="s">
        <v>61</v>
      </c>
      <c r="B168" s="344" t="s">
        <v>104</v>
      </c>
    </row>
    <row r="169" spans="1:2" x14ac:dyDescent="0.25">
      <c r="A169" s="342" t="s">
        <v>59</v>
      </c>
      <c r="B169" s="344" t="s">
        <v>165</v>
      </c>
    </row>
    <row r="170" spans="1:2" x14ac:dyDescent="0.25">
      <c r="A170" s="342" t="s">
        <v>1</v>
      </c>
      <c r="B170" s="345" t="s">
        <v>197</v>
      </c>
    </row>
    <row r="171" spans="1:2" x14ac:dyDescent="0.25">
      <c r="A171" s="346" t="s">
        <v>259</v>
      </c>
      <c r="B171" s="344" t="s">
        <v>188</v>
      </c>
    </row>
    <row r="172" spans="1:2" x14ac:dyDescent="0.25">
      <c r="A172" s="342" t="s">
        <v>6</v>
      </c>
      <c r="B172" s="344" t="s">
        <v>30</v>
      </c>
    </row>
    <row r="173" spans="1:2" x14ac:dyDescent="0.25">
      <c r="A173" s="342" t="s">
        <v>107</v>
      </c>
      <c r="B173" s="344" t="s">
        <v>264</v>
      </c>
    </row>
    <row r="174" spans="1:2" x14ac:dyDescent="0.25">
      <c r="A174" s="342" t="s">
        <v>62</v>
      </c>
      <c r="B174" s="344" t="s">
        <v>98</v>
      </c>
    </row>
    <row r="175" spans="1:2" x14ac:dyDescent="0.25">
      <c r="A175" s="342" t="s">
        <v>1</v>
      </c>
      <c r="B175" s="344" t="s">
        <v>106</v>
      </c>
    </row>
    <row r="176" spans="1:2" x14ac:dyDescent="0.25">
      <c r="A176" s="342" t="s">
        <v>2</v>
      </c>
      <c r="B176" s="344" t="s">
        <v>15</v>
      </c>
    </row>
    <row r="177" spans="1:2" x14ac:dyDescent="0.25">
      <c r="A177" s="344" t="s">
        <v>2</v>
      </c>
      <c r="B177" s="344" t="s">
        <v>67</v>
      </c>
    </row>
    <row r="178" spans="1:2" x14ac:dyDescent="0.25">
      <c r="A178" s="342" t="s">
        <v>57</v>
      </c>
      <c r="B178" s="344" t="s">
        <v>25</v>
      </c>
    </row>
    <row r="179" spans="1:2" x14ac:dyDescent="0.25">
      <c r="A179" s="342" t="s">
        <v>57</v>
      </c>
      <c r="B179" s="344" t="s">
        <v>58</v>
      </c>
    </row>
    <row r="180" spans="1:2" x14ac:dyDescent="0.25">
      <c r="A180" s="342" t="s">
        <v>1</v>
      </c>
      <c r="B180" s="344" t="s">
        <v>196</v>
      </c>
    </row>
    <row r="181" spans="1:2" x14ac:dyDescent="0.25">
      <c r="A181" s="342" t="s">
        <v>6</v>
      </c>
      <c r="B181" s="344" t="s">
        <v>17</v>
      </c>
    </row>
    <row r="182" spans="1:2" x14ac:dyDescent="0.25">
      <c r="A182" s="344" t="s">
        <v>255</v>
      </c>
      <c r="B182" s="344" t="s">
        <v>189</v>
      </c>
    </row>
    <row r="183" spans="1:2" x14ac:dyDescent="0.25">
      <c r="A183" s="344" t="s">
        <v>52</v>
      </c>
      <c r="B183" s="344" t="s">
        <v>266</v>
      </c>
    </row>
    <row r="184" spans="1:2" x14ac:dyDescent="0.25">
      <c r="A184" s="342" t="s">
        <v>1</v>
      </c>
      <c r="B184" s="344" t="s">
        <v>196</v>
      </c>
    </row>
    <row r="185" spans="1:2" x14ac:dyDescent="0.25">
      <c r="A185" s="342" t="s">
        <v>1</v>
      </c>
      <c r="B185" s="344" t="s">
        <v>17</v>
      </c>
    </row>
    <row r="186" spans="1:2" x14ac:dyDescent="0.25">
      <c r="A186" s="342" t="s">
        <v>1</v>
      </c>
      <c r="B186" s="344" t="s">
        <v>54</v>
      </c>
    </row>
    <row r="187" spans="1:2" x14ac:dyDescent="0.25">
      <c r="A187" s="342" t="s">
        <v>2</v>
      </c>
      <c r="B187" s="344" t="s">
        <v>72</v>
      </c>
    </row>
    <row r="188" spans="1:2" x14ac:dyDescent="0.25">
      <c r="A188" s="342" t="s">
        <v>23</v>
      </c>
      <c r="B188" s="344" t="s">
        <v>259</v>
      </c>
    </row>
    <row r="189" spans="1:2" x14ac:dyDescent="0.25">
      <c r="A189" s="342" t="s">
        <v>23</v>
      </c>
      <c r="B189" s="344" t="s">
        <v>158</v>
      </c>
    </row>
    <row r="190" spans="1:2" x14ac:dyDescent="0.25">
      <c r="A190" s="342" t="s">
        <v>2</v>
      </c>
      <c r="B190" s="344" t="s">
        <v>268</v>
      </c>
    </row>
    <row r="191" spans="1:2" x14ac:dyDescent="0.25">
      <c r="A191" s="344" t="s">
        <v>52</v>
      </c>
      <c r="B191" s="344" t="s">
        <v>4</v>
      </c>
    </row>
    <row r="192" spans="1:2" x14ac:dyDescent="0.25">
      <c r="A192" s="344" t="s">
        <v>6</v>
      </c>
      <c r="B192" s="344" t="s">
        <v>21</v>
      </c>
    </row>
    <row r="193" spans="1:2" x14ac:dyDescent="0.25">
      <c r="A193" s="344" t="s">
        <v>100</v>
      </c>
      <c r="B193" s="344" t="s">
        <v>27</v>
      </c>
    </row>
    <row r="194" spans="1:2" x14ac:dyDescent="0.25">
      <c r="A194" s="344" t="s">
        <v>57</v>
      </c>
      <c r="B194" s="344" t="s">
        <v>26</v>
      </c>
    </row>
    <row r="195" spans="1:2" x14ac:dyDescent="0.25">
      <c r="A195" s="344" t="s">
        <v>100</v>
      </c>
      <c r="B195" s="344" t="s">
        <v>192</v>
      </c>
    </row>
    <row r="196" spans="1:2" x14ac:dyDescent="0.25">
      <c r="A196" s="344" t="s">
        <v>100</v>
      </c>
      <c r="B196" s="344" t="s">
        <v>269</v>
      </c>
    </row>
    <row r="197" spans="1:2" x14ac:dyDescent="0.25">
      <c r="A197" s="344" t="s">
        <v>255</v>
      </c>
      <c r="B197" s="344" t="s">
        <v>270</v>
      </c>
    </row>
    <row r="198" spans="1:2" x14ac:dyDescent="0.25">
      <c r="A198" s="344" t="s">
        <v>100</v>
      </c>
      <c r="B198" s="344" t="s">
        <v>271</v>
      </c>
    </row>
    <row r="199" spans="1:2" x14ac:dyDescent="0.25">
      <c r="A199" s="346" t="s">
        <v>1</v>
      </c>
      <c r="B199" s="344" t="s">
        <v>161</v>
      </c>
    </row>
    <row r="200" spans="1:2" x14ac:dyDescent="0.25">
      <c r="A200" s="346" t="s">
        <v>107</v>
      </c>
      <c r="B200" s="344" t="s">
        <v>272</v>
      </c>
    </row>
    <row r="201" spans="1:2" x14ac:dyDescent="0.25">
      <c r="A201" s="346" t="s">
        <v>103</v>
      </c>
      <c r="B201" s="344" t="s">
        <v>158</v>
      </c>
    </row>
  </sheetData>
  <autoFilter ref="A3:L124" xr:uid="{00000000-0009-0000-0000-000010000000}"/>
  <mergeCells count="2">
    <mergeCell ref="A67:A68"/>
    <mergeCell ref="A81:A8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1"/>
  <dimension ref="A1:Z228"/>
  <sheetViews>
    <sheetView topLeftCell="H1" workbookViewId="0">
      <selection activeCell="O4" sqref="O4"/>
    </sheetView>
  </sheetViews>
  <sheetFormatPr baseColWidth="10" defaultRowHeight="15" x14ac:dyDescent="0.25"/>
  <cols>
    <col min="1" max="1" width="34.140625" customWidth="1"/>
    <col min="2" max="2" width="44" style="83" bestFit="1" customWidth="1"/>
    <col min="3" max="3" width="9.7109375" style="20" customWidth="1"/>
    <col min="4" max="4" width="15.140625" style="20" bestFit="1" customWidth="1"/>
    <col min="5" max="5" width="9.28515625" style="20" customWidth="1"/>
    <col min="6" max="6" width="15.140625" style="20" bestFit="1" customWidth="1"/>
    <col min="7" max="7" width="9.5703125" style="20" customWidth="1"/>
    <col min="8" max="8" width="15.140625" style="20" bestFit="1" customWidth="1"/>
    <col min="9" max="9" width="10" style="20" customWidth="1"/>
    <col min="10" max="10" width="15.140625" style="20" bestFit="1" customWidth="1"/>
    <col min="11" max="11" width="10.140625" style="20" customWidth="1"/>
    <col min="12" max="12" width="15.140625" style="20" bestFit="1" customWidth="1"/>
    <col min="13" max="13" width="16.140625" bestFit="1" customWidth="1"/>
    <col min="14" max="14" width="10" bestFit="1" customWidth="1"/>
    <col min="15" max="18" width="8.140625" bestFit="1" customWidth="1"/>
    <col min="19" max="19" width="9.140625" bestFit="1" customWidth="1"/>
    <col min="20" max="23" width="8.140625" bestFit="1" customWidth="1"/>
    <col min="24" max="24" width="9.140625" bestFit="1" customWidth="1"/>
    <col min="25" max="25" width="23.42578125" style="107" bestFit="1" customWidth="1"/>
    <col min="26" max="26" width="65" bestFit="1" customWidth="1"/>
  </cols>
  <sheetData>
    <row r="1" spans="1:26" x14ac:dyDescent="0.25">
      <c r="M1" s="795" t="s">
        <v>240</v>
      </c>
      <c r="N1" s="796"/>
      <c r="O1" s="789" t="s">
        <v>241</v>
      </c>
      <c r="P1" s="790"/>
      <c r="Q1" s="790"/>
      <c r="R1" s="790"/>
      <c r="S1" s="790"/>
      <c r="T1" s="790"/>
      <c r="U1" s="790"/>
      <c r="V1" s="790"/>
      <c r="W1" s="790"/>
      <c r="X1" s="791"/>
    </row>
    <row r="2" spans="1:26" ht="18" x14ac:dyDescent="0.35">
      <c r="M2" s="797"/>
      <c r="N2" s="798"/>
      <c r="O2" s="794" t="s">
        <v>234</v>
      </c>
      <c r="P2" s="794"/>
      <c r="Q2" s="794"/>
      <c r="R2" s="794"/>
      <c r="S2" s="794"/>
      <c r="T2" s="794" t="s">
        <v>242</v>
      </c>
      <c r="U2" s="794"/>
      <c r="V2" s="794"/>
      <c r="W2" s="794"/>
      <c r="X2" s="794"/>
    </row>
    <row r="3" spans="1:26" ht="37.5" customHeight="1" x14ac:dyDescent="0.25">
      <c r="A3" s="58" t="s">
        <v>93</v>
      </c>
      <c r="B3" s="58" t="s">
        <v>99</v>
      </c>
      <c r="C3" s="14" t="s">
        <v>109</v>
      </c>
      <c r="D3" s="14" t="s">
        <v>114</v>
      </c>
      <c r="E3" s="15" t="s">
        <v>110</v>
      </c>
      <c r="F3" s="15" t="s">
        <v>115</v>
      </c>
      <c r="G3" s="16" t="s">
        <v>111</v>
      </c>
      <c r="H3" s="16" t="s">
        <v>116</v>
      </c>
      <c r="I3" s="17" t="s">
        <v>113</v>
      </c>
      <c r="J3" s="17" t="s">
        <v>117</v>
      </c>
      <c r="K3" s="18" t="s">
        <v>112</v>
      </c>
      <c r="L3" s="18" t="s">
        <v>118</v>
      </c>
      <c r="M3" s="136" t="s">
        <v>232</v>
      </c>
      <c r="N3" s="137" t="s">
        <v>233</v>
      </c>
      <c r="O3" s="14" t="s">
        <v>235</v>
      </c>
      <c r="P3" s="15" t="s">
        <v>236</v>
      </c>
      <c r="Q3" s="16" t="s">
        <v>237</v>
      </c>
      <c r="R3" s="17" t="s">
        <v>238</v>
      </c>
      <c r="S3" s="18" t="s">
        <v>239</v>
      </c>
      <c r="T3" s="14" t="s">
        <v>235</v>
      </c>
      <c r="U3" s="15" t="s">
        <v>236</v>
      </c>
      <c r="V3" s="16" t="s">
        <v>237</v>
      </c>
      <c r="W3" s="17" t="s">
        <v>238</v>
      </c>
      <c r="X3" s="18" t="s">
        <v>239</v>
      </c>
      <c r="Y3" s="58" t="s">
        <v>75</v>
      </c>
      <c r="Z3" s="11" t="s">
        <v>76</v>
      </c>
    </row>
    <row r="4" spans="1:26" x14ac:dyDescent="0.25">
      <c r="A4" s="74" t="s">
        <v>3</v>
      </c>
      <c r="B4" s="88" t="s">
        <v>203</v>
      </c>
      <c r="C4" s="29" t="e">
        <f>#REF!</f>
        <v>#REF!</v>
      </c>
      <c r="D4" s="29" t="e">
        <f>#REF!</f>
        <v>#REF!</v>
      </c>
      <c r="E4" s="29" t="e">
        <f>#REF!</f>
        <v>#REF!</v>
      </c>
      <c r="F4" s="29" t="e">
        <f>#REF!</f>
        <v>#REF!</v>
      </c>
      <c r="G4" s="29" t="e">
        <f>#REF!</f>
        <v>#REF!</v>
      </c>
      <c r="H4" s="29" t="e">
        <f>#REF!</f>
        <v>#REF!</v>
      </c>
      <c r="I4" s="29" t="e">
        <f>#REF!</f>
        <v>#REF!</v>
      </c>
      <c r="J4" s="29" t="e">
        <f>#REF!</f>
        <v>#REF!</v>
      </c>
      <c r="K4" s="29" t="e">
        <f>#REF!</f>
        <v>#REF!</v>
      </c>
      <c r="L4" s="29" t="e">
        <f>#REF!</f>
        <v>#REF!</v>
      </c>
      <c r="M4" s="135">
        <v>2500</v>
      </c>
      <c r="N4" s="135">
        <v>1</v>
      </c>
      <c r="O4" s="33" t="e">
        <f>D4*M4</f>
        <v>#REF!</v>
      </c>
      <c r="P4" s="33" t="e">
        <f>F4*M4</f>
        <v>#REF!</v>
      </c>
      <c r="Q4" s="33" t="e">
        <f>H4*M4</f>
        <v>#REF!</v>
      </c>
      <c r="R4" s="33" t="e">
        <f>J4*M4</f>
        <v>#REF!</v>
      </c>
      <c r="S4" s="33" t="e">
        <f>L4*M4</f>
        <v>#REF!</v>
      </c>
      <c r="T4" s="33" t="e">
        <f>O4/N4</f>
        <v>#REF!</v>
      </c>
      <c r="U4" s="33" t="e">
        <f>P4/N4</f>
        <v>#REF!</v>
      </c>
      <c r="V4" s="33" t="e">
        <f>Q4/N4</f>
        <v>#REF!</v>
      </c>
      <c r="W4" s="33" t="e">
        <f>R4/N4</f>
        <v>#REF!</v>
      </c>
      <c r="X4" s="33" t="e">
        <f>S4/N4</f>
        <v>#REF!</v>
      </c>
      <c r="Y4" s="130" t="s">
        <v>128</v>
      </c>
      <c r="Z4" s="35" t="s">
        <v>129</v>
      </c>
    </row>
    <row r="5" spans="1:26" x14ac:dyDescent="0.25">
      <c r="A5" s="75" t="s">
        <v>3</v>
      </c>
      <c r="B5" s="77" t="s">
        <v>199</v>
      </c>
      <c r="C5" s="29" t="e">
        <f>#REF!</f>
        <v>#REF!</v>
      </c>
      <c r="D5" s="29" t="e">
        <f>#REF!</f>
        <v>#REF!</v>
      </c>
      <c r="E5" s="29" t="e">
        <f>#REF!</f>
        <v>#REF!</v>
      </c>
      <c r="F5" s="29" t="e">
        <f>#REF!</f>
        <v>#REF!</v>
      </c>
      <c r="G5" s="29" t="e">
        <f>#REF!</f>
        <v>#REF!</v>
      </c>
      <c r="H5" s="29" t="e">
        <f>#REF!</f>
        <v>#REF!</v>
      </c>
      <c r="I5" s="29" t="e">
        <f>#REF!</f>
        <v>#REF!</v>
      </c>
      <c r="J5" s="29" t="e">
        <f>#REF!</f>
        <v>#REF!</v>
      </c>
      <c r="K5" s="29" t="e">
        <f>#REF!</f>
        <v>#REF!</v>
      </c>
      <c r="L5" s="29" t="e">
        <f>#REF!</f>
        <v>#REF!</v>
      </c>
      <c r="M5" s="135">
        <v>2500</v>
      </c>
      <c r="N5" s="135">
        <v>1</v>
      </c>
      <c r="O5" s="33" t="e">
        <f>D5*M5</f>
        <v>#REF!</v>
      </c>
      <c r="P5" s="33" t="e">
        <f>F5*M5</f>
        <v>#REF!</v>
      </c>
      <c r="Q5" s="33" t="e">
        <f>H5*M5</f>
        <v>#REF!</v>
      </c>
      <c r="R5" s="33" t="e">
        <f>J5*M5</f>
        <v>#REF!</v>
      </c>
      <c r="S5" s="33" t="e">
        <f>L5*M5</f>
        <v>#REF!</v>
      </c>
      <c r="T5" s="33" t="e">
        <f t="shared" ref="T5:T79" si="0">O5/N5</f>
        <v>#REF!</v>
      </c>
      <c r="U5" s="33" t="e">
        <f t="shared" ref="U5:U79" si="1">P5/N5</f>
        <v>#REF!</v>
      </c>
      <c r="V5" s="33" t="e">
        <f t="shared" ref="V5:V79" si="2">Q5/N5</f>
        <v>#REF!</v>
      </c>
      <c r="W5" s="33" t="e">
        <f t="shared" ref="W5:W79" si="3">R5/N5</f>
        <v>#REF!</v>
      </c>
      <c r="X5" s="33" t="e">
        <f t="shared" ref="X5:X79" si="4">S5/N5</f>
        <v>#REF!</v>
      </c>
      <c r="Y5" s="131" t="s">
        <v>198</v>
      </c>
      <c r="Z5" s="35"/>
    </row>
    <row r="6" spans="1:26" s="4" customFormat="1" x14ac:dyDescent="0.25">
      <c r="A6" s="156"/>
      <c r="B6" s="87"/>
      <c r="C6" s="29" t="e">
        <f>C5</f>
        <v>#REF!</v>
      </c>
      <c r="D6" s="29" t="e">
        <f t="shared" ref="D6:L6" si="5">D5</f>
        <v>#REF!</v>
      </c>
      <c r="E6" s="29" t="e">
        <f t="shared" si="5"/>
        <v>#REF!</v>
      </c>
      <c r="F6" s="29" t="e">
        <f t="shared" si="5"/>
        <v>#REF!</v>
      </c>
      <c r="G6" s="29" t="e">
        <f t="shared" si="5"/>
        <v>#REF!</v>
      </c>
      <c r="H6" s="29" t="e">
        <f t="shared" si="5"/>
        <v>#REF!</v>
      </c>
      <c r="I6" s="29" t="e">
        <f t="shared" si="5"/>
        <v>#REF!</v>
      </c>
      <c r="J6" s="29" t="e">
        <f t="shared" si="5"/>
        <v>#REF!</v>
      </c>
      <c r="K6" s="29" t="e">
        <f t="shared" si="5"/>
        <v>#REF!</v>
      </c>
      <c r="L6" s="29" t="e">
        <f t="shared" si="5"/>
        <v>#REF!</v>
      </c>
      <c r="M6" s="157"/>
      <c r="N6" s="157"/>
      <c r="O6" s="158"/>
      <c r="P6" s="158"/>
      <c r="Q6" s="158"/>
      <c r="R6" s="158"/>
      <c r="S6" s="158"/>
      <c r="T6" s="158"/>
      <c r="U6" s="158"/>
      <c r="V6" s="158"/>
      <c r="W6" s="158"/>
      <c r="X6" s="158"/>
      <c r="Y6" s="159"/>
      <c r="Z6" s="160"/>
    </row>
    <row r="7" spans="1:26" x14ac:dyDescent="0.25">
      <c r="A7" s="73" t="s">
        <v>167</v>
      </c>
      <c r="B7" s="77" t="s">
        <v>199</v>
      </c>
      <c r="C7" s="29" t="e">
        <f>#REF!</f>
        <v>#REF!</v>
      </c>
      <c r="D7" s="29" t="e">
        <f>#REF!</f>
        <v>#REF!</v>
      </c>
      <c r="E7" s="29" t="e">
        <f>#REF!</f>
        <v>#REF!</v>
      </c>
      <c r="F7" s="29" t="e">
        <f>#REF!</f>
        <v>#REF!</v>
      </c>
      <c r="G7" s="29" t="e">
        <f>#REF!</f>
        <v>#REF!</v>
      </c>
      <c r="H7" s="29" t="e">
        <f>#REF!</f>
        <v>#REF!</v>
      </c>
      <c r="I7" s="29" t="e">
        <f>#REF!</f>
        <v>#REF!</v>
      </c>
      <c r="J7" s="29" t="e">
        <f>#REF!</f>
        <v>#REF!</v>
      </c>
      <c r="K7" s="29" t="e">
        <f>#REF!</f>
        <v>#REF!</v>
      </c>
      <c r="L7" s="29" t="e">
        <f>#REF!</f>
        <v>#REF!</v>
      </c>
      <c r="M7" s="135">
        <v>2500</v>
      </c>
      <c r="N7" s="135">
        <v>1</v>
      </c>
      <c r="O7" s="33" t="e">
        <f t="shared" ref="O7:O12" si="6">D7*M7</f>
        <v>#REF!</v>
      </c>
      <c r="P7" s="33" t="e">
        <f t="shared" ref="P7:P12" si="7">F7*M7</f>
        <v>#REF!</v>
      </c>
      <c r="Q7" s="33" t="e">
        <f t="shared" ref="Q7:Q12" si="8">H7*M7</f>
        <v>#REF!</v>
      </c>
      <c r="R7" s="33" t="e">
        <f t="shared" ref="R7:R12" si="9">J7*M7</f>
        <v>#REF!</v>
      </c>
      <c r="S7" s="33" t="e">
        <f t="shared" ref="S7:S12" si="10">L7*M7</f>
        <v>#REF!</v>
      </c>
      <c r="T7" s="33" t="e">
        <f t="shared" si="0"/>
        <v>#REF!</v>
      </c>
      <c r="U7" s="33" t="e">
        <f t="shared" si="1"/>
        <v>#REF!</v>
      </c>
      <c r="V7" s="33" t="e">
        <f t="shared" si="2"/>
        <v>#REF!</v>
      </c>
      <c r="W7" s="33" t="e">
        <f t="shared" si="3"/>
        <v>#REF!</v>
      </c>
      <c r="X7" s="33" t="e">
        <f t="shared" si="4"/>
        <v>#REF!</v>
      </c>
      <c r="Y7" s="131" t="s">
        <v>198</v>
      </c>
      <c r="Z7" s="35"/>
    </row>
    <row r="8" spans="1:26" x14ac:dyDescent="0.25">
      <c r="A8" s="73" t="s">
        <v>4</v>
      </c>
      <c r="B8" s="77" t="s">
        <v>199</v>
      </c>
      <c r="C8" s="29" t="e">
        <f>#REF!</f>
        <v>#REF!</v>
      </c>
      <c r="D8" s="29" t="e">
        <f>#REF!</f>
        <v>#REF!</v>
      </c>
      <c r="E8" s="29" t="e">
        <f>#REF!</f>
        <v>#REF!</v>
      </c>
      <c r="F8" s="29" t="e">
        <f>#REF!</f>
        <v>#REF!</v>
      </c>
      <c r="G8" s="29" t="e">
        <f>#REF!</f>
        <v>#REF!</v>
      </c>
      <c r="H8" s="29" t="e">
        <f>#REF!</f>
        <v>#REF!</v>
      </c>
      <c r="I8" s="29" t="e">
        <f>#REF!</f>
        <v>#REF!</v>
      </c>
      <c r="J8" s="29" t="e">
        <f>#REF!</f>
        <v>#REF!</v>
      </c>
      <c r="K8" s="29" t="e">
        <f>#REF!</f>
        <v>#REF!</v>
      </c>
      <c r="L8" s="29" t="e">
        <f>#REF!</f>
        <v>#REF!</v>
      </c>
      <c r="M8" s="135">
        <v>2500</v>
      </c>
      <c r="N8" s="135">
        <v>1</v>
      </c>
      <c r="O8" s="33" t="e">
        <f t="shared" si="6"/>
        <v>#REF!</v>
      </c>
      <c r="P8" s="33" t="e">
        <f t="shared" si="7"/>
        <v>#REF!</v>
      </c>
      <c r="Q8" s="33" t="e">
        <f t="shared" si="8"/>
        <v>#REF!</v>
      </c>
      <c r="R8" s="33" t="e">
        <f t="shared" si="9"/>
        <v>#REF!</v>
      </c>
      <c r="S8" s="33" t="e">
        <f t="shared" si="10"/>
        <v>#REF!</v>
      </c>
      <c r="T8" s="33" t="e">
        <f t="shared" si="0"/>
        <v>#REF!</v>
      </c>
      <c r="U8" s="33" t="e">
        <f t="shared" si="1"/>
        <v>#REF!</v>
      </c>
      <c r="V8" s="33" t="e">
        <f t="shared" si="2"/>
        <v>#REF!</v>
      </c>
      <c r="W8" s="33" t="e">
        <f t="shared" si="3"/>
        <v>#REF!</v>
      </c>
      <c r="X8" s="33" t="e">
        <f t="shared" si="4"/>
        <v>#REF!</v>
      </c>
      <c r="Y8" s="131" t="s">
        <v>198</v>
      </c>
      <c r="Z8" s="35"/>
    </row>
    <row r="9" spans="1:26" x14ac:dyDescent="0.25">
      <c r="A9" s="73" t="s">
        <v>141</v>
      </c>
      <c r="B9" s="77" t="s">
        <v>199</v>
      </c>
      <c r="C9" s="29" t="e">
        <f>#REF!</f>
        <v>#REF!</v>
      </c>
      <c r="D9" s="29" t="e">
        <f>#REF!</f>
        <v>#REF!</v>
      </c>
      <c r="E9" s="29" t="e">
        <f>#REF!</f>
        <v>#REF!</v>
      </c>
      <c r="F9" s="29" t="e">
        <f>#REF!</f>
        <v>#REF!</v>
      </c>
      <c r="G9" s="29" t="e">
        <f>#REF!</f>
        <v>#REF!</v>
      </c>
      <c r="H9" s="29" t="e">
        <f>#REF!</f>
        <v>#REF!</v>
      </c>
      <c r="I9" s="29" t="e">
        <f>#REF!</f>
        <v>#REF!</v>
      </c>
      <c r="J9" s="29" t="e">
        <f>#REF!</f>
        <v>#REF!</v>
      </c>
      <c r="K9" s="29" t="e">
        <f>#REF!</f>
        <v>#REF!</v>
      </c>
      <c r="L9" s="29" t="e">
        <f>#REF!</f>
        <v>#REF!</v>
      </c>
      <c r="M9" s="135">
        <v>2500</v>
      </c>
      <c r="N9" s="135">
        <v>1</v>
      </c>
      <c r="O9" s="33" t="e">
        <f t="shared" si="6"/>
        <v>#REF!</v>
      </c>
      <c r="P9" s="33" t="e">
        <f t="shared" si="7"/>
        <v>#REF!</v>
      </c>
      <c r="Q9" s="33" t="e">
        <f t="shared" si="8"/>
        <v>#REF!</v>
      </c>
      <c r="R9" s="33" t="e">
        <f t="shared" si="9"/>
        <v>#REF!</v>
      </c>
      <c r="S9" s="33" t="e">
        <f t="shared" si="10"/>
        <v>#REF!</v>
      </c>
      <c r="T9" s="33" t="e">
        <f t="shared" si="0"/>
        <v>#REF!</v>
      </c>
      <c r="U9" s="33" t="e">
        <f t="shared" si="1"/>
        <v>#REF!</v>
      </c>
      <c r="V9" s="33" t="e">
        <f t="shared" si="2"/>
        <v>#REF!</v>
      </c>
      <c r="W9" s="33" t="e">
        <f t="shared" si="3"/>
        <v>#REF!</v>
      </c>
      <c r="X9" s="33" t="e">
        <f t="shared" si="4"/>
        <v>#REF!</v>
      </c>
      <c r="Y9" s="131" t="s">
        <v>198</v>
      </c>
      <c r="Z9" s="35"/>
    </row>
    <row r="10" spans="1:26" x14ac:dyDescent="0.25">
      <c r="A10" s="161" t="s">
        <v>5</v>
      </c>
      <c r="B10" s="162"/>
      <c r="C10" s="29" t="e">
        <f>#REF!</f>
        <v>#REF!</v>
      </c>
      <c r="D10" s="29" t="e">
        <f>#REF!</f>
        <v>#REF!</v>
      </c>
      <c r="E10" s="29" t="e">
        <f>#REF!</f>
        <v>#REF!</v>
      </c>
      <c r="F10" s="29" t="e">
        <f>#REF!</f>
        <v>#REF!</v>
      </c>
      <c r="G10" s="29" t="e">
        <f>#REF!</f>
        <v>#REF!</v>
      </c>
      <c r="H10" s="29" t="e">
        <f>#REF!</f>
        <v>#REF!</v>
      </c>
      <c r="I10" s="29" t="e">
        <f>#REF!</f>
        <v>#REF!</v>
      </c>
      <c r="J10" s="29" t="e">
        <f>#REF!</f>
        <v>#REF!</v>
      </c>
      <c r="K10" s="29" t="e">
        <f>#REF!</f>
        <v>#REF!</v>
      </c>
      <c r="L10" s="29" t="e">
        <f>#REF!</f>
        <v>#REF!</v>
      </c>
      <c r="M10" s="135">
        <v>2500</v>
      </c>
      <c r="N10" s="135">
        <v>1</v>
      </c>
      <c r="O10" s="33" t="e">
        <f t="shared" si="6"/>
        <v>#REF!</v>
      </c>
      <c r="P10" s="33" t="e">
        <f t="shared" si="7"/>
        <v>#REF!</v>
      </c>
      <c r="Q10" s="33" t="e">
        <f t="shared" si="8"/>
        <v>#REF!</v>
      </c>
      <c r="R10" s="33" t="e">
        <f t="shared" si="9"/>
        <v>#REF!</v>
      </c>
      <c r="S10" s="33" t="e">
        <f t="shared" si="10"/>
        <v>#REF!</v>
      </c>
      <c r="T10" s="33" t="e">
        <f t="shared" si="0"/>
        <v>#REF!</v>
      </c>
      <c r="U10" s="33" t="e">
        <f t="shared" si="1"/>
        <v>#REF!</v>
      </c>
      <c r="V10" s="33" t="e">
        <f t="shared" si="2"/>
        <v>#REF!</v>
      </c>
      <c r="W10" s="33" t="e">
        <f t="shared" si="3"/>
        <v>#REF!</v>
      </c>
      <c r="X10" s="33" t="e">
        <f t="shared" si="4"/>
        <v>#REF!</v>
      </c>
      <c r="Y10" s="132"/>
      <c r="Z10" s="35"/>
    </row>
    <row r="11" spans="1:26" x14ac:dyDescent="0.25">
      <c r="A11" s="74" t="s">
        <v>6</v>
      </c>
      <c r="B11" s="88" t="s">
        <v>203</v>
      </c>
      <c r="C11" s="29" t="e">
        <f>#REF!</f>
        <v>#REF!</v>
      </c>
      <c r="D11" s="29" t="e">
        <f>#REF!</f>
        <v>#REF!</v>
      </c>
      <c r="E11" s="29" t="e">
        <f>#REF!</f>
        <v>#REF!</v>
      </c>
      <c r="F11" s="29" t="e">
        <f>#REF!</f>
        <v>#REF!</v>
      </c>
      <c r="G11" s="29" t="e">
        <f>#REF!</f>
        <v>#REF!</v>
      </c>
      <c r="H11" s="29" t="e">
        <f>#REF!</f>
        <v>#REF!</v>
      </c>
      <c r="I11" s="29" t="e">
        <f>#REF!</f>
        <v>#REF!</v>
      </c>
      <c r="J11" s="29" t="e">
        <f>#REF!</f>
        <v>#REF!</v>
      </c>
      <c r="K11" s="29" t="e">
        <f>#REF!</f>
        <v>#REF!</v>
      </c>
      <c r="L11" s="29" t="e">
        <f>#REF!</f>
        <v>#REF!</v>
      </c>
      <c r="M11" s="135">
        <v>2500</v>
      </c>
      <c r="N11" s="135">
        <v>1</v>
      </c>
      <c r="O11" s="33" t="e">
        <f t="shared" si="6"/>
        <v>#REF!</v>
      </c>
      <c r="P11" s="33" t="e">
        <f t="shared" si="7"/>
        <v>#REF!</v>
      </c>
      <c r="Q11" s="33" t="e">
        <f t="shared" si="8"/>
        <v>#REF!</v>
      </c>
      <c r="R11" s="33" t="e">
        <f t="shared" si="9"/>
        <v>#REF!</v>
      </c>
      <c r="S11" s="33" t="e">
        <f t="shared" si="10"/>
        <v>#REF!</v>
      </c>
      <c r="T11" s="33" t="e">
        <f t="shared" si="0"/>
        <v>#REF!</v>
      </c>
      <c r="U11" s="33" t="e">
        <f t="shared" si="1"/>
        <v>#REF!</v>
      </c>
      <c r="V11" s="33" t="e">
        <f t="shared" si="2"/>
        <v>#REF!</v>
      </c>
      <c r="W11" s="33" t="e">
        <f t="shared" si="3"/>
        <v>#REF!</v>
      </c>
      <c r="X11" s="33" t="e">
        <f t="shared" si="4"/>
        <v>#REF!</v>
      </c>
      <c r="Y11" s="130" t="s">
        <v>128</v>
      </c>
      <c r="Z11" s="35"/>
    </row>
    <row r="12" spans="1:26" x14ac:dyDescent="0.25">
      <c r="A12" s="75" t="s">
        <v>6</v>
      </c>
      <c r="B12" s="77" t="s">
        <v>199</v>
      </c>
      <c r="C12" s="29" t="e">
        <f>#REF!</f>
        <v>#REF!</v>
      </c>
      <c r="D12" s="29" t="e">
        <f>#REF!</f>
        <v>#REF!</v>
      </c>
      <c r="E12" s="29" t="e">
        <f>#REF!</f>
        <v>#REF!</v>
      </c>
      <c r="F12" s="29" t="e">
        <f>#REF!</f>
        <v>#REF!</v>
      </c>
      <c r="G12" s="29" t="e">
        <f>#REF!</f>
        <v>#REF!</v>
      </c>
      <c r="H12" s="29" t="e">
        <f>#REF!</f>
        <v>#REF!</v>
      </c>
      <c r="I12" s="29" t="e">
        <f>#REF!</f>
        <v>#REF!</v>
      </c>
      <c r="J12" s="29" t="e">
        <f>#REF!</f>
        <v>#REF!</v>
      </c>
      <c r="K12" s="29" t="e">
        <f>#REF!</f>
        <v>#REF!</v>
      </c>
      <c r="L12" s="29" t="e">
        <f>#REF!</f>
        <v>#REF!</v>
      </c>
      <c r="M12" s="135">
        <v>2500</v>
      </c>
      <c r="N12" s="135">
        <v>1</v>
      </c>
      <c r="O12" s="33" t="e">
        <f t="shared" si="6"/>
        <v>#REF!</v>
      </c>
      <c r="P12" s="33" t="e">
        <f t="shared" si="7"/>
        <v>#REF!</v>
      </c>
      <c r="Q12" s="33" t="e">
        <f t="shared" si="8"/>
        <v>#REF!</v>
      </c>
      <c r="R12" s="33" t="e">
        <f t="shared" si="9"/>
        <v>#REF!</v>
      </c>
      <c r="S12" s="33" t="e">
        <f t="shared" si="10"/>
        <v>#REF!</v>
      </c>
      <c r="T12" s="33" t="e">
        <f t="shared" si="0"/>
        <v>#REF!</v>
      </c>
      <c r="U12" s="33" t="e">
        <f t="shared" si="1"/>
        <v>#REF!</v>
      </c>
      <c r="V12" s="33" t="e">
        <f t="shared" si="2"/>
        <v>#REF!</v>
      </c>
      <c r="W12" s="33" t="e">
        <f t="shared" si="3"/>
        <v>#REF!</v>
      </c>
      <c r="X12" s="33" t="e">
        <f t="shared" si="4"/>
        <v>#REF!</v>
      </c>
      <c r="Y12" s="131" t="s">
        <v>198</v>
      </c>
      <c r="Z12" s="35"/>
    </row>
    <row r="13" spans="1:26" s="4" customFormat="1" x14ac:dyDescent="0.25">
      <c r="A13" s="156"/>
      <c r="B13" s="87"/>
      <c r="C13" s="29" t="e">
        <f>C12</f>
        <v>#REF!</v>
      </c>
      <c r="D13" s="29" t="e">
        <f t="shared" ref="D13:L13" si="11">AVERAGE(D11:D12)</f>
        <v>#REF!</v>
      </c>
      <c r="E13" s="29" t="e">
        <f t="shared" si="11"/>
        <v>#REF!</v>
      </c>
      <c r="F13" s="29" t="e">
        <f t="shared" si="11"/>
        <v>#REF!</v>
      </c>
      <c r="G13" s="29" t="e">
        <f t="shared" si="11"/>
        <v>#REF!</v>
      </c>
      <c r="H13" s="29" t="e">
        <f t="shared" si="11"/>
        <v>#REF!</v>
      </c>
      <c r="I13" s="29" t="e">
        <f t="shared" si="11"/>
        <v>#REF!</v>
      </c>
      <c r="J13" s="29" t="e">
        <f t="shared" si="11"/>
        <v>#REF!</v>
      </c>
      <c r="K13" s="29" t="e">
        <f t="shared" si="11"/>
        <v>#REF!</v>
      </c>
      <c r="L13" s="29" t="e">
        <f t="shared" si="11"/>
        <v>#REF!</v>
      </c>
      <c r="M13" s="157"/>
      <c r="N13" s="157"/>
      <c r="O13" s="158"/>
      <c r="P13" s="158"/>
      <c r="Q13" s="158"/>
      <c r="R13" s="158"/>
      <c r="S13" s="158"/>
      <c r="T13" s="158"/>
      <c r="U13" s="158"/>
      <c r="V13" s="158"/>
      <c r="W13" s="158"/>
      <c r="X13" s="158"/>
      <c r="Y13" s="159"/>
      <c r="Z13" s="160"/>
    </row>
    <row r="14" spans="1:26" x14ac:dyDescent="0.25">
      <c r="A14" s="161" t="s">
        <v>7</v>
      </c>
      <c r="B14" s="162"/>
      <c r="C14" s="29" t="e">
        <f>#REF!</f>
        <v>#REF!</v>
      </c>
      <c r="D14" s="29" t="e">
        <f>#REF!</f>
        <v>#REF!</v>
      </c>
      <c r="E14" s="29" t="e">
        <f>#REF!</f>
        <v>#REF!</v>
      </c>
      <c r="F14" s="29" t="e">
        <f>#REF!</f>
        <v>#REF!</v>
      </c>
      <c r="G14" s="29" t="e">
        <f>#REF!</f>
        <v>#REF!</v>
      </c>
      <c r="H14" s="29" t="e">
        <f>#REF!</f>
        <v>#REF!</v>
      </c>
      <c r="I14" s="29" t="e">
        <f>#REF!</f>
        <v>#REF!</v>
      </c>
      <c r="J14" s="29" t="e">
        <f>#REF!</f>
        <v>#REF!</v>
      </c>
      <c r="K14" s="29" t="e">
        <f>#REF!</f>
        <v>#REF!</v>
      </c>
      <c r="L14" s="29" t="e">
        <f>#REF!</f>
        <v>#REF!</v>
      </c>
      <c r="M14" s="135">
        <v>2500</v>
      </c>
      <c r="N14" s="135">
        <v>1</v>
      </c>
      <c r="O14" s="33" t="e">
        <f t="shared" ref="O14:O19" si="12">D14*M14</f>
        <v>#REF!</v>
      </c>
      <c r="P14" s="33" t="e">
        <f t="shared" ref="P14:P19" si="13">F14*M14</f>
        <v>#REF!</v>
      </c>
      <c r="Q14" s="33" t="e">
        <f t="shared" ref="Q14:Q19" si="14">H14*M14</f>
        <v>#REF!</v>
      </c>
      <c r="R14" s="33" t="e">
        <f t="shared" ref="R14:R19" si="15">J14*M14</f>
        <v>#REF!</v>
      </c>
      <c r="S14" s="33" t="e">
        <f t="shared" ref="S14:S19" si="16">L14*M14</f>
        <v>#REF!</v>
      </c>
      <c r="T14" s="33" t="e">
        <f t="shared" si="0"/>
        <v>#REF!</v>
      </c>
      <c r="U14" s="33" t="e">
        <f t="shared" si="1"/>
        <v>#REF!</v>
      </c>
      <c r="V14" s="33" t="e">
        <f t="shared" si="2"/>
        <v>#REF!</v>
      </c>
      <c r="W14" s="33" t="e">
        <f t="shared" si="3"/>
        <v>#REF!</v>
      </c>
      <c r="X14" s="33" t="e">
        <f t="shared" si="4"/>
        <v>#REF!</v>
      </c>
      <c r="Y14" s="132"/>
      <c r="Z14" s="35"/>
    </row>
    <row r="15" spans="1:26" x14ac:dyDescent="0.25">
      <c r="A15" s="75" t="s">
        <v>8</v>
      </c>
      <c r="B15" s="77" t="s">
        <v>199</v>
      </c>
      <c r="C15" s="29" t="e">
        <f>#REF!</f>
        <v>#REF!</v>
      </c>
      <c r="D15" s="29" t="e">
        <f>#REF!</f>
        <v>#REF!</v>
      </c>
      <c r="E15" s="29" t="e">
        <f>#REF!</f>
        <v>#REF!</v>
      </c>
      <c r="F15" s="29" t="e">
        <f>#REF!</f>
        <v>#REF!</v>
      </c>
      <c r="G15" s="29" t="e">
        <f>#REF!</f>
        <v>#REF!</v>
      </c>
      <c r="H15" s="29" t="e">
        <f>#REF!</f>
        <v>#REF!</v>
      </c>
      <c r="I15" s="29" t="e">
        <f>#REF!</f>
        <v>#REF!</v>
      </c>
      <c r="J15" s="29" t="e">
        <f>#REF!</f>
        <v>#REF!</v>
      </c>
      <c r="K15" s="29" t="e">
        <f>#REF!</f>
        <v>#REF!</v>
      </c>
      <c r="L15" s="29" t="e">
        <f>#REF!</f>
        <v>#REF!</v>
      </c>
      <c r="M15" s="135">
        <v>2500</v>
      </c>
      <c r="N15" s="135">
        <v>1</v>
      </c>
      <c r="O15" s="33" t="e">
        <f t="shared" si="12"/>
        <v>#REF!</v>
      </c>
      <c r="P15" s="33" t="e">
        <f t="shared" si="13"/>
        <v>#REF!</v>
      </c>
      <c r="Q15" s="33" t="e">
        <f t="shared" si="14"/>
        <v>#REF!</v>
      </c>
      <c r="R15" s="33" t="e">
        <f t="shared" si="15"/>
        <v>#REF!</v>
      </c>
      <c r="S15" s="33" t="e">
        <f t="shared" si="16"/>
        <v>#REF!</v>
      </c>
      <c r="T15" s="33" t="e">
        <f t="shared" si="0"/>
        <v>#REF!</v>
      </c>
      <c r="U15" s="33" t="e">
        <f t="shared" si="1"/>
        <v>#REF!</v>
      </c>
      <c r="V15" s="33" t="e">
        <f t="shared" si="2"/>
        <v>#REF!</v>
      </c>
      <c r="W15" s="33" t="e">
        <f t="shared" si="3"/>
        <v>#REF!</v>
      </c>
      <c r="X15" s="33" t="e">
        <f t="shared" si="4"/>
        <v>#REF!</v>
      </c>
      <c r="Y15" s="131" t="s">
        <v>198</v>
      </c>
      <c r="Z15" s="35"/>
    </row>
    <row r="16" spans="1:26" x14ac:dyDescent="0.25">
      <c r="A16" s="31" t="s">
        <v>2</v>
      </c>
      <c r="B16" s="88" t="s">
        <v>203</v>
      </c>
      <c r="C16" s="29" t="e">
        <f>#REF!</f>
        <v>#REF!</v>
      </c>
      <c r="D16" s="29" t="e">
        <f>#REF!</f>
        <v>#REF!</v>
      </c>
      <c r="E16" s="29" t="e">
        <f>#REF!</f>
        <v>#REF!</v>
      </c>
      <c r="F16" s="29" t="e">
        <f>#REF!</f>
        <v>#REF!</v>
      </c>
      <c r="G16" s="29" t="e">
        <f>#REF!</f>
        <v>#REF!</v>
      </c>
      <c r="H16" s="29" t="e">
        <f>#REF!</f>
        <v>#REF!</v>
      </c>
      <c r="I16" s="29" t="e">
        <f>#REF!</f>
        <v>#REF!</v>
      </c>
      <c r="J16" s="29" t="e">
        <f>#REF!</f>
        <v>#REF!</v>
      </c>
      <c r="K16" s="29" t="e">
        <f>#REF!</f>
        <v>#REF!</v>
      </c>
      <c r="L16" s="29" t="e">
        <f>#REF!</f>
        <v>#REF!</v>
      </c>
      <c r="M16" s="135">
        <v>2500</v>
      </c>
      <c r="N16" s="135">
        <v>1</v>
      </c>
      <c r="O16" s="33" t="e">
        <f t="shared" si="12"/>
        <v>#REF!</v>
      </c>
      <c r="P16" s="33" t="e">
        <f t="shared" si="13"/>
        <v>#REF!</v>
      </c>
      <c r="Q16" s="33" t="e">
        <f t="shared" si="14"/>
        <v>#REF!</v>
      </c>
      <c r="R16" s="33" t="e">
        <f t="shared" si="15"/>
        <v>#REF!</v>
      </c>
      <c r="S16" s="33" t="e">
        <f t="shared" si="16"/>
        <v>#REF!</v>
      </c>
      <c r="T16" s="33" t="e">
        <f t="shared" si="0"/>
        <v>#REF!</v>
      </c>
      <c r="U16" s="33" t="e">
        <f t="shared" si="1"/>
        <v>#REF!</v>
      </c>
      <c r="V16" s="33" t="e">
        <f t="shared" si="2"/>
        <v>#REF!</v>
      </c>
      <c r="W16" s="33" t="e">
        <f t="shared" si="3"/>
        <v>#REF!</v>
      </c>
      <c r="X16" s="33" t="e">
        <f t="shared" si="4"/>
        <v>#REF!</v>
      </c>
      <c r="Y16" s="130" t="s">
        <v>128</v>
      </c>
      <c r="Z16" s="35"/>
    </row>
    <row r="17" spans="1:26" x14ac:dyDescent="0.25">
      <c r="A17" s="30" t="s">
        <v>2</v>
      </c>
      <c r="B17" s="128" t="s">
        <v>227</v>
      </c>
      <c r="C17" s="29" t="e">
        <f>#REF!</f>
        <v>#REF!</v>
      </c>
      <c r="D17" s="29" t="e">
        <f>#REF!</f>
        <v>#REF!</v>
      </c>
      <c r="E17" s="29" t="e">
        <f>#REF!</f>
        <v>#REF!</v>
      </c>
      <c r="F17" s="29" t="e">
        <f>#REF!</f>
        <v>#REF!</v>
      </c>
      <c r="G17" s="29" t="e">
        <f>#REF!</f>
        <v>#REF!</v>
      </c>
      <c r="H17" s="29" t="e">
        <f>#REF!</f>
        <v>#REF!</v>
      </c>
      <c r="I17" s="29" t="e">
        <f>#REF!</f>
        <v>#REF!</v>
      </c>
      <c r="J17" s="29" t="e">
        <f>#REF!</f>
        <v>#REF!</v>
      </c>
      <c r="K17" s="29" t="e">
        <f>#REF!</f>
        <v>#REF!</v>
      </c>
      <c r="L17" s="29" t="e">
        <f>#REF!</f>
        <v>#REF!</v>
      </c>
      <c r="M17" s="135">
        <v>2500</v>
      </c>
      <c r="N17" s="135">
        <v>1</v>
      </c>
      <c r="O17" s="33" t="e">
        <f t="shared" si="12"/>
        <v>#REF!</v>
      </c>
      <c r="P17" s="33" t="e">
        <f t="shared" si="13"/>
        <v>#REF!</v>
      </c>
      <c r="Q17" s="33" t="e">
        <f t="shared" si="14"/>
        <v>#REF!</v>
      </c>
      <c r="R17" s="33" t="e">
        <f t="shared" si="15"/>
        <v>#REF!</v>
      </c>
      <c r="S17" s="33" t="e">
        <f t="shared" si="16"/>
        <v>#REF!</v>
      </c>
      <c r="T17" s="33" t="e">
        <f t="shared" si="0"/>
        <v>#REF!</v>
      </c>
      <c r="U17" s="33" t="e">
        <f t="shared" si="1"/>
        <v>#REF!</v>
      </c>
      <c r="V17" s="33" t="e">
        <f t="shared" si="2"/>
        <v>#REF!</v>
      </c>
      <c r="W17" s="33" t="e">
        <f t="shared" si="3"/>
        <v>#REF!</v>
      </c>
      <c r="X17" s="33" t="e">
        <f t="shared" si="4"/>
        <v>#REF!</v>
      </c>
      <c r="Y17" s="24" t="s">
        <v>81</v>
      </c>
      <c r="Z17" s="35"/>
    </row>
    <row r="18" spans="1:26" x14ac:dyDescent="0.25">
      <c r="A18" s="75" t="s">
        <v>2</v>
      </c>
      <c r="B18" s="77" t="s">
        <v>199</v>
      </c>
      <c r="C18" s="29" t="e">
        <f>#REF!</f>
        <v>#REF!</v>
      </c>
      <c r="D18" s="29" t="e">
        <f>#REF!</f>
        <v>#REF!</v>
      </c>
      <c r="E18" s="29" t="e">
        <f>#REF!</f>
        <v>#REF!</v>
      </c>
      <c r="F18" s="29" t="e">
        <f>#REF!</f>
        <v>#REF!</v>
      </c>
      <c r="G18" s="29" t="e">
        <f>#REF!</f>
        <v>#REF!</v>
      </c>
      <c r="H18" s="29" t="e">
        <f>#REF!</f>
        <v>#REF!</v>
      </c>
      <c r="I18" s="29" t="e">
        <f>#REF!</f>
        <v>#REF!</v>
      </c>
      <c r="J18" s="29" t="e">
        <f>#REF!</f>
        <v>#REF!</v>
      </c>
      <c r="K18" s="29" t="e">
        <f>#REF!</f>
        <v>#REF!</v>
      </c>
      <c r="L18" s="29" t="e">
        <f>#REF!</f>
        <v>#REF!</v>
      </c>
      <c r="M18" s="135">
        <v>2500</v>
      </c>
      <c r="N18" s="135">
        <v>1</v>
      </c>
      <c r="O18" s="33" t="e">
        <f t="shared" si="12"/>
        <v>#REF!</v>
      </c>
      <c r="P18" s="33" t="e">
        <f t="shared" si="13"/>
        <v>#REF!</v>
      </c>
      <c r="Q18" s="33" t="e">
        <f t="shared" si="14"/>
        <v>#REF!</v>
      </c>
      <c r="R18" s="33" t="e">
        <f t="shared" si="15"/>
        <v>#REF!</v>
      </c>
      <c r="S18" s="33" t="e">
        <f t="shared" si="16"/>
        <v>#REF!</v>
      </c>
      <c r="T18" s="33" t="e">
        <f t="shared" si="0"/>
        <v>#REF!</v>
      </c>
      <c r="U18" s="33" t="e">
        <f t="shared" si="1"/>
        <v>#REF!</v>
      </c>
      <c r="V18" s="33" t="e">
        <f t="shared" si="2"/>
        <v>#REF!</v>
      </c>
      <c r="W18" s="33" t="e">
        <f t="shared" si="3"/>
        <v>#REF!</v>
      </c>
      <c r="X18" s="33" t="e">
        <f t="shared" si="4"/>
        <v>#REF!</v>
      </c>
      <c r="Y18" s="131" t="s">
        <v>198</v>
      </c>
      <c r="Z18" s="35"/>
    </row>
    <row r="19" spans="1:26" x14ac:dyDescent="0.25">
      <c r="A19" s="125" t="s">
        <v>2</v>
      </c>
      <c r="B19" s="126" t="s">
        <v>230</v>
      </c>
      <c r="C19" s="29" t="e">
        <f>#REF!</f>
        <v>#REF!</v>
      </c>
      <c r="D19" s="29" t="e">
        <f>#REF!</f>
        <v>#REF!</v>
      </c>
      <c r="E19" s="29" t="e">
        <f>#REF!</f>
        <v>#REF!</v>
      </c>
      <c r="F19" s="29" t="e">
        <f>#REF!</f>
        <v>#REF!</v>
      </c>
      <c r="G19" s="29" t="e">
        <f>#REF!</f>
        <v>#REF!</v>
      </c>
      <c r="H19" s="29" t="e">
        <f>#REF!</f>
        <v>#REF!</v>
      </c>
      <c r="I19" s="29" t="e">
        <f>#REF!</f>
        <v>#REF!</v>
      </c>
      <c r="J19" s="29" t="e">
        <f>#REF!</f>
        <v>#REF!</v>
      </c>
      <c r="K19" s="29" t="e">
        <f>#REF!</f>
        <v>#REF!</v>
      </c>
      <c r="L19" s="29" t="e">
        <f>#REF!</f>
        <v>#REF!</v>
      </c>
      <c r="M19" s="135">
        <v>2500</v>
      </c>
      <c r="N19" s="135">
        <v>1</v>
      </c>
      <c r="O19" s="33" t="e">
        <f t="shared" si="12"/>
        <v>#REF!</v>
      </c>
      <c r="P19" s="33" t="e">
        <f t="shared" si="13"/>
        <v>#REF!</v>
      </c>
      <c r="Q19" s="33" t="e">
        <f t="shared" si="14"/>
        <v>#REF!</v>
      </c>
      <c r="R19" s="33" t="e">
        <f t="shared" si="15"/>
        <v>#REF!</v>
      </c>
      <c r="S19" s="33" t="e">
        <f t="shared" si="16"/>
        <v>#REF!</v>
      </c>
      <c r="T19" s="33" t="e">
        <f t="shared" si="0"/>
        <v>#REF!</v>
      </c>
      <c r="U19" s="33" t="e">
        <f t="shared" si="1"/>
        <v>#REF!</v>
      </c>
      <c r="V19" s="33" t="e">
        <f t="shared" si="2"/>
        <v>#REF!</v>
      </c>
      <c r="W19" s="33" t="e">
        <f t="shared" si="3"/>
        <v>#REF!</v>
      </c>
      <c r="X19" s="33" t="e">
        <f t="shared" si="4"/>
        <v>#REF!</v>
      </c>
      <c r="Y19" s="133" t="s">
        <v>85</v>
      </c>
      <c r="Z19" s="35"/>
    </row>
    <row r="20" spans="1:26" s="4" customFormat="1" x14ac:dyDescent="0.25">
      <c r="A20" s="168"/>
      <c r="B20" s="166"/>
      <c r="C20" s="29" t="e">
        <f>C18</f>
        <v>#REF!</v>
      </c>
      <c r="D20" s="29" t="e">
        <f t="shared" ref="D20:L20" si="17">D18</f>
        <v>#REF!</v>
      </c>
      <c r="E20" s="29" t="e">
        <f t="shared" si="17"/>
        <v>#REF!</v>
      </c>
      <c r="F20" s="29" t="e">
        <f t="shared" si="17"/>
        <v>#REF!</v>
      </c>
      <c r="G20" s="29" t="e">
        <f t="shared" si="17"/>
        <v>#REF!</v>
      </c>
      <c r="H20" s="29" t="e">
        <f t="shared" si="17"/>
        <v>#REF!</v>
      </c>
      <c r="I20" s="29" t="e">
        <f t="shared" si="17"/>
        <v>#REF!</v>
      </c>
      <c r="J20" s="29" t="e">
        <f t="shared" si="17"/>
        <v>#REF!</v>
      </c>
      <c r="K20" s="29" t="e">
        <f t="shared" si="17"/>
        <v>#REF!</v>
      </c>
      <c r="L20" s="29" t="e">
        <f t="shared" si="17"/>
        <v>#REF!</v>
      </c>
      <c r="M20" s="157"/>
      <c r="N20" s="157"/>
      <c r="O20" s="158"/>
      <c r="P20" s="158"/>
      <c r="Q20" s="158"/>
      <c r="R20" s="158"/>
      <c r="S20" s="158"/>
      <c r="T20" s="158"/>
      <c r="U20" s="158"/>
      <c r="V20" s="158"/>
      <c r="W20" s="158"/>
      <c r="X20" s="158"/>
      <c r="Y20" s="167"/>
      <c r="Z20" s="160"/>
    </row>
    <row r="21" spans="1:26" x14ac:dyDescent="0.25">
      <c r="A21" s="161" t="s">
        <v>9</v>
      </c>
      <c r="B21" s="162"/>
      <c r="C21" s="29" t="e">
        <f>#REF!</f>
        <v>#REF!</v>
      </c>
      <c r="D21" s="29" t="e">
        <f>#REF!</f>
        <v>#REF!</v>
      </c>
      <c r="E21" s="29" t="e">
        <f>#REF!</f>
        <v>#REF!</v>
      </c>
      <c r="F21" s="29" t="e">
        <f>#REF!</f>
        <v>#REF!</v>
      </c>
      <c r="G21" s="29" t="e">
        <f>#REF!</f>
        <v>#REF!</v>
      </c>
      <c r="H21" s="29" t="e">
        <f>#REF!</f>
        <v>#REF!</v>
      </c>
      <c r="I21" s="29" t="e">
        <f>#REF!</f>
        <v>#REF!</v>
      </c>
      <c r="J21" s="29" t="e">
        <f>#REF!</f>
        <v>#REF!</v>
      </c>
      <c r="K21" s="29" t="e">
        <f>#REF!</f>
        <v>#REF!</v>
      </c>
      <c r="L21" s="29" t="e">
        <f>#REF!</f>
        <v>#REF!</v>
      </c>
      <c r="M21" s="135">
        <v>2500</v>
      </c>
      <c r="N21" s="135">
        <v>1</v>
      </c>
      <c r="O21" s="33" t="e">
        <f>D21*M21</f>
        <v>#REF!</v>
      </c>
      <c r="P21" s="33" t="e">
        <f>F21*M21</f>
        <v>#REF!</v>
      </c>
      <c r="Q21" s="33" t="e">
        <f>H21*M21</f>
        <v>#REF!</v>
      </c>
      <c r="R21" s="33" t="e">
        <f>J21*M21</f>
        <v>#REF!</v>
      </c>
      <c r="S21" s="33" t="e">
        <f>L21*M21</f>
        <v>#REF!</v>
      </c>
      <c r="T21" s="33" t="e">
        <f t="shared" si="0"/>
        <v>#REF!</v>
      </c>
      <c r="U21" s="33" t="e">
        <f t="shared" si="1"/>
        <v>#REF!</v>
      </c>
      <c r="V21" s="33" t="e">
        <f t="shared" si="2"/>
        <v>#REF!</v>
      </c>
      <c r="W21" s="33" t="e">
        <f t="shared" si="3"/>
        <v>#REF!</v>
      </c>
      <c r="X21" s="33" t="e">
        <f t="shared" si="4"/>
        <v>#REF!</v>
      </c>
      <c r="Y21" s="132"/>
      <c r="Z21" s="35"/>
    </row>
    <row r="22" spans="1:26" x14ac:dyDescent="0.25">
      <c r="A22" s="23" t="s">
        <v>10</v>
      </c>
      <c r="B22" s="88" t="s">
        <v>203</v>
      </c>
      <c r="C22" s="29" t="e">
        <f>#REF!</f>
        <v>#REF!</v>
      </c>
      <c r="D22" s="29" t="e">
        <f>#REF!</f>
        <v>#REF!</v>
      </c>
      <c r="E22" s="29" t="e">
        <f>#REF!</f>
        <v>#REF!</v>
      </c>
      <c r="F22" s="29" t="e">
        <f>#REF!</f>
        <v>#REF!</v>
      </c>
      <c r="G22" s="29" t="e">
        <f>#REF!</f>
        <v>#REF!</v>
      </c>
      <c r="H22" s="29" t="e">
        <f>#REF!</f>
        <v>#REF!</v>
      </c>
      <c r="I22" s="29" t="e">
        <f>#REF!</f>
        <v>#REF!</v>
      </c>
      <c r="J22" s="29" t="e">
        <f>#REF!</f>
        <v>#REF!</v>
      </c>
      <c r="K22" s="29" t="e">
        <f>#REF!</f>
        <v>#REF!</v>
      </c>
      <c r="L22" s="29" t="e">
        <f>#REF!</f>
        <v>#REF!</v>
      </c>
      <c r="M22" s="135">
        <v>2500</v>
      </c>
      <c r="N22" s="135">
        <v>1</v>
      </c>
      <c r="O22" s="33" t="e">
        <f>D22*M22</f>
        <v>#REF!</v>
      </c>
      <c r="P22" s="33" t="e">
        <f>F22*M22</f>
        <v>#REF!</v>
      </c>
      <c r="Q22" s="33" t="e">
        <f>H22*M22</f>
        <v>#REF!</v>
      </c>
      <c r="R22" s="33" t="e">
        <f>J22*M22</f>
        <v>#REF!</v>
      </c>
      <c r="S22" s="33" t="e">
        <f>L22*M22</f>
        <v>#REF!</v>
      </c>
      <c r="T22" s="33" t="e">
        <f t="shared" si="0"/>
        <v>#REF!</v>
      </c>
      <c r="U22" s="33" t="e">
        <f t="shared" si="1"/>
        <v>#REF!</v>
      </c>
      <c r="V22" s="33" t="e">
        <f t="shared" si="2"/>
        <v>#REF!</v>
      </c>
      <c r="W22" s="33" t="e">
        <f t="shared" si="3"/>
        <v>#REF!</v>
      </c>
      <c r="X22" s="33" t="e">
        <f t="shared" si="4"/>
        <v>#REF!</v>
      </c>
      <c r="Y22" s="130" t="s">
        <v>128</v>
      </c>
      <c r="Z22" s="35" t="s">
        <v>126</v>
      </c>
    </row>
    <row r="23" spans="1:26" x14ac:dyDescent="0.25">
      <c r="A23" s="75" t="s">
        <v>10</v>
      </c>
      <c r="B23" s="77" t="s">
        <v>199</v>
      </c>
      <c r="C23" s="29" t="e">
        <f>#REF!</f>
        <v>#REF!</v>
      </c>
      <c r="D23" s="29" t="e">
        <f>#REF!</f>
        <v>#REF!</v>
      </c>
      <c r="E23" s="29" t="e">
        <f>#REF!</f>
        <v>#REF!</v>
      </c>
      <c r="F23" s="29" t="e">
        <f>#REF!</f>
        <v>#REF!</v>
      </c>
      <c r="G23" s="29" t="e">
        <f>#REF!</f>
        <v>#REF!</v>
      </c>
      <c r="H23" s="29" t="e">
        <f>#REF!</f>
        <v>#REF!</v>
      </c>
      <c r="I23" s="29" t="e">
        <f>#REF!</f>
        <v>#REF!</v>
      </c>
      <c r="J23" s="29" t="e">
        <f>#REF!</f>
        <v>#REF!</v>
      </c>
      <c r="K23" s="29" t="e">
        <f>#REF!</f>
        <v>#REF!</v>
      </c>
      <c r="L23" s="29" t="e">
        <f>#REF!</f>
        <v>#REF!</v>
      </c>
      <c r="M23" s="135">
        <v>2500</v>
      </c>
      <c r="N23" s="135">
        <v>1</v>
      </c>
      <c r="O23" s="33" t="e">
        <f>D23*M23</f>
        <v>#REF!</v>
      </c>
      <c r="P23" s="33" t="e">
        <f>F23*M23</f>
        <v>#REF!</v>
      </c>
      <c r="Q23" s="33" t="e">
        <f>H23*M23</f>
        <v>#REF!</v>
      </c>
      <c r="R23" s="33" t="e">
        <f>J23*M23</f>
        <v>#REF!</v>
      </c>
      <c r="S23" s="33" t="e">
        <f>L23*M23</f>
        <v>#REF!</v>
      </c>
      <c r="T23" s="33" t="e">
        <f t="shared" si="0"/>
        <v>#REF!</v>
      </c>
      <c r="U23" s="33" t="e">
        <f t="shared" si="1"/>
        <v>#REF!</v>
      </c>
      <c r="V23" s="33" t="e">
        <f t="shared" si="2"/>
        <v>#REF!</v>
      </c>
      <c r="W23" s="33" t="e">
        <f t="shared" si="3"/>
        <v>#REF!</v>
      </c>
      <c r="X23" s="33" t="e">
        <f t="shared" si="4"/>
        <v>#REF!</v>
      </c>
      <c r="Y23" s="131" t="s">
        <v>198</v>
      </c>
      <c r="Z23" s="35"/>
    </row>
    <row r="24" spans="1:26" s="4" customFormat="1" x14ac:dyDescent="0.25">
      <c r="A24" s="156"/>
      <c r="B24" s="87"/>
      <c r="C24" s="29" t="e">
        <f>C23</f>
        <v>#REF!</v>
      </c>
      <c r="D24" s="29" t="e">
        <f t="shared" ref="D24:L24" si="18">D23</f>
        <v>#REF!</v>
      </c>
      <c r="E24" s="29" t="e">
        <f t="shared" si="18"/>
        <v>#REF!</v>
      </c>
      <c r="F24" s="29" t="e">
        <f t="shared" si="18"/>
        <v>#REF!</v>
      </c>
      <c r="G24" s="29" t="e">
        <f t="shared" si="18"/>
        <v>#REF!</v>
      </c>
      <c r="H24" s="29" t="e">
        <f t="shared" si="18"/>
        <v>#REF!</v>
      </c>
      <c r="I24" s="29" t="e">
        <f t="shared" si="18"/>
        <v>#REF!</v>
      </c>
      <c r="J24" s="29" t="e">
        <f t="shared" si="18"/>
        <v>#REF!</v>
      </c>
      <c r="K24" s="29" t="e">
        <f t="shared" si="18"/>
        <v>#REF!</v>
      </c>
      <c r="L24" s="29" t="e">
        <f t="shared" si="18"/>
        <v>#REF!</v>
      </c>
      <c r="M24" s="157"/>
      <c r="N24" s="157"/>
      <c r="O24" s="158"/>
      <c r="P24" s="158"/>
      <c r="Q24" s="158"/>
      <c r="R24" s="158"/>
      <c r="S24" s="158"/>
      <c r="T24" s="158"/>
      <c r="U24" s="158"/>
      <c r="V24" s="158"/>
      <c r="W24" s="158"/>
      <c r="X24" s="158"/>
      <c r="Y24" s="159"/>
      <c r="Z24" s="160"/>
    </row>
    <row r="25" spans="1:26" x14ac:dyDescent="0.25">
      <c r="A25" s="84" t="s">
        <v>157</v>
      </c>
      <c r="B25" s="77" t="s">
        <v>199</v>
      </c>
      <c r="C25" s="29" t="e">
        <f>#REF!</f>
        <v>#REF!</v>
      </c>
      <c r="D25" s="29" t="e">
        <f>#REF!</f>
        <v>#REF!</v>
      </c>
      <c r="E25" s="29" t="e">
        <f>#REF!</f>
        <v>#REF!</v>
      </c>
      <c r="F25" s="29" t="e">
        <f>#REF!</f>
        <v>#REF!</v>
      </c>
      <c r="G25" s="29" t="e">
        <f>#REF!</f>
        <v>#REF!</v>
      </c>
      <c r="H25" s="29" t="e">
        <f>#REF!</f>
        <v>#REF!</v>
      </c>
      <c r="I25" s="29" t="e">
        <f>#REF!</f>
        <v>#REF!</v>
      </c>
      <c r="J25" s="29" t="e">
        <f>#REF!</f>
        <v>#REF!</v>
      </c>
      <c r="K25" s="29" t="e">
        <f>#REF!</f>
        <v>#REF!</v>
      </c>
      <c r="L25" s="29" t="e">
        <f>#REF!</f>
        <v>#REF!</v>
      </c>
      <c r="M25" s="135">
        <v>2500</v>
      </c>
      <c r="N25" s="135">
        <v>1</v>
      </c>
      <c r="O25" s="33" t="e">
        <f t="shared" ref="O25:O37" si="19">D25*M25</f>
        <v>#REF!</v>
      </c>
      <c r="P25" s="33" t="e">
        <f t="shared" ref="P25:P37" si="20">F25*M25</f>
        <v>#REF!</v>
      </c>
      <c r="Q25" s="33" t="e">
        <f t="shared" ref="Q25:Q37" si="21">H25*M25</f>
        <v>#REF!</v>
      </c>
      <c r="R25" s="33" t="e">
        <f t="shared" ref="R25:R37" si="22">J25*M25</f>
        <v>#REF!</v>
      </c>
      <c r="S25" s="33" t="e">
        <f t="shared" ref="S25:S37" si="23">L25*M25</f>
        <v>#REF!</v>
      </c>
      <c r="T25" s="33" t="e">
        <f t="shared" si="0"/>
        <v>#REF!</v>
      </c>
      <c r="U25" s="33" t="e">
        <f t="shared" si="1"/>
        <v>#REF!</v>
      </c>
      <c r="V25" s="33" t="e">
        <f t="shared" si="2"/>
        <v>#REF!</v>
      </c>
      <c r="W25" s="33" t="e">
        <f t="shared" si="3"/>
        <v>#REF!</v>
      </c>
      <c r="X25" s="33" t="e">
        <f t="shared" si="4"/>
        <v>#REF!</v>
      </c>
      <c r="Y25" s="131" t="s">
        <v>198</v>
      </c>
      <c r="Z25" s="35"/>
    </row>
    <row r="26" spans="1:26" x14ac:dyDescent="0.25">
      <c r="A26" s="161" t="s">
        <v>11</v>
      </c>
      <c r="B26" s="162"/>
      <c r="C26" s="29" t="e">
        <f>#REF!</f>
        <v>#REF!</v>
      </c>
      <c r="D26" s="29" t="e">
        <f>#REF!</f>
        <v>#REF!</v>
      </c>
      <c r="E26" s="29" t="e">
        <f>#REF!</f>
        <v>#REF!</v>
      </c>
      <c r="F26" s="29" t="e">
        <f>#REF!</f>
        <v>#REF!</v>
      </c>
      <c r="G26" s="29" t="e">
        <f>#REF!</f>
        <v>#REF!</v>
      </c>
      <c r="H26" s="29" t="e">
        <f>#REF!</f>
        <v>#REF!</v>
      </c>
      <c r="I26" s="29" t="e">
        <f>#REF!</f>
        <v>#REF!</v>
      </c>
      <c r="J26" s="29" t="e">
        <f>#REF!</f>
        <v>#REF!</v>
      </c>
      <c r="K26" s="29" t="e">
        <f>#REF!</f>
        <v>#REF!</v>
      </c>
      <c r="L26" s="29" t="e">
        <f>#REF!</f>
        <v>#REF!</v>
      </c>
      <c r="M26" s="135">
        <v>2500</v>
      </c>
      <c r="N26" s="135">
        <v>1</v>
      </c>
      <c r="O26" s="33" t="e">
        <f t="shared" si="19"/>
        <v>#REF!</v>
      </c>
      <c r="P26" s="33" t="e">
        <f t="shared" si="20"/>
        <v>#REF!</v>
      </c>
      <c r="Q26" s="33" t="e">
        <f t="shared" si="21"/>
        <v>#REF!</v>
      </c>
      <c r="R26" s="33" t="e">
        <f t="shared" si="22"/>
        <v>#REF!</v>
      </c>
      <c r="S26" s="33" t="e">
        <f t="shared" si="23"/>
        <v>#REF!</v>
      </c>
      <c r="T26" s="33" t="e">
        <f t="shared" si="0"/>
        <v>#REF!</v>
      </c>
      <c r="U26" s="33" t="e">
        <f t="shared" si="1"/>
        <v>#REF!</v>
      </c>
      <c r="V26" s="33" t="e">
        <f t="shared" si="2"/>
        <v>#REF!</v>
      </c>
      <c r="W26" s="33" t="e">
        <f t="shared" si="3"/>
        <v>#REF!</v>
      </c>
      <c r="X26" s="33" t="e">
        <f t="shared" si="4"/>
        <v>#REF!</v>
      </c>
      <c r="Y26" s="132"/>
      <c r="Z26" s="35"/>
    </row>
    <row r="27" spans="1:26" x14ac:dyDescent="0.25">
      <c r="A27" s="161" t="s">
        <v>12</v>
      </c>
      <c r="B27" s="162"/>
      <c r="C27" s="29" t="e">
        <f>#REF!</f>
        <v>#REF!</v>
      </c>
      <c r="D27" s="29" t="e">
        <f>#REF!</f>
        <v>#REF!</v>
      </c>
      <c r="E27" s="29" t="e">
        <f>#REF!</f>
        <v>#REF!</v>
      </c>
      <c r="F27" s="29" t="e">
        <f>#REF!</f>
        <v>#REF!</v>
      </c>
      <c r="G27" s="29" t="e">
        <f>#REF!</f>
        <v>#REF!</v>
      </c>
      <c r="H27" s="29" t="e">
        <f>#REF!</f>
        <v>#REF!</v>
      </c>
      <c r="I27" s="29" t="e">
        <f>#REF!</f>
        <v>#REF!</v>
      </c>
      <c r="J27" s="29" t="e">
        <f>#REF!</f>
        <v>#REF!</v>
      </c>
      <c r="K27" s="29" t="e">
        <f>#REF!</f>
        <v>#REF!</v>
      </c>
      <c r="L27" s="29" t="e">
        <f>#REF!</f>
        <v>#REF!</v>
      </c>
      <c r="M27" s="135">
        <v>2500</v>
      </c>
      <c r="N27" s="135">
        <v>1</v>
      </c>
      <c r="O27" s="33" t="e">
        <f t="shared" si="19"/>
        <v>#REF!</v>
      </c>
      <c r="P27" s="33" t="e">
        <f t="shared" si="20"/>
        <v>#REF!</v>
      </c>
      <c r="Q27" s="33" t="e">
        <f t="shared" si="21"/>
        <v>#REF!</v>
      </c>
      <c r="R27" s="33" t="e">
        <f t="shared" si="22"/>
        <v>#REF!</v>
      </c>
      <c r="S27" s="33" t="e">
        <f t="shared" si="23"/>
        <v>#REF!</v>
      </c>
      <c r="T27" s="33" t="e">
        <f t="shared" si="0"/>
        <v>#REF!</v>
      </c>
      <c r="U27" s="33" t="e">
        <f t="shared" si="1"/>
        <v>#REF!</v>
      </c>
      <c r="V27" s="33" t="e">
        <f t="shared" si="2"/>
        <v>#REF!</v>
      </c>
      <c r="W27" s="33" t="e">
        <f t="shared" si="3"/>
        <v>#REF!</v>
      </c>
      <c r="X27" s="33" t="e">
        <f t="shared" si="4"/>
        <v>#REF!</v>
      </c>
      <c r="Y27" s="132"/>
      <c r="Z27" s="35"/>
    </row>
    <row r="28" spans="1:26" x14ac:dyDescent="0.25">
      <c r="A28" s="84" t="s">
        <v>13</v>
      </c>
      <c r="B28" s="77" t="s">
        <v>199</v>
      </c>
      <c r="C28" s="29" t="e">
        <f>#REF!</f>
        <v>#REF!</v>
      </c>
      <c r="D28" s="29" t="e">
        <f>#REF!</f>
        <v>#REF!</v>
      </c>
      <c r="E28" s="29" t="e">
        <f>#REF!</f>
        <v>#REF!</v>
      </c>
      <c r="F28" s="29" t="e">
        <f>#REF!</f>
        <v>#REF!</v>
      </c>
      <c r="G28" s="29" t="e">
        <f>#REF!</f>
        <v>#REF!</v>
      </c>
      <c r="H28" s="29" t="e">
        <f>#REF!</f>
        <v>#REF!</v>
      </c>
      <c r="I28" s="29" t="e">
        <f>#REF!</f>
        <v>#REF!</v>
      </c>
      <c r="J28" s="29" t="e">
        <f>#REF!</f>
        <v>#REF!</v>
      </c>
      <c r="K28" s="29" t="e">
        <f>#REF!</f>
        <v>#REF!</v>
      </c>
      <c r="L28" s="29" t="e">
        <f>#REF!</f>
        <v>#REF!</v>
      </c>
      <c r="M28" s="135">
        <v>2500</v>
      </c>
      <c r="N28" s="135">
        <v>1</v>
      </c>
      <c r="O28" s="33" t="e">
        <f t="shared" si="19"/>
        <v>#REF!</v>
      </c>
      <c r="P28" s="33" t="e">
        <f t="shared" si="20"/>
        <v>#REF!</v>
      </c>
      <c r="Q28" s="33" t="e">
        <f t="shared" si="21"/>
        <v>#REF!</v>
      </c>
      <c r="R28" s="33" t="e">
        <f t="shared" si="22"/>
        <v>#REF!</v>
      </c>
      <c r="S28" s="33" t="e">
        <f t="shared" si="23"/>
        <v>#REF!</v>
      </c>
      <c r="T28" s="33" t="e">
        <f t="shared" si="0"/>
        <v>#REF!</v>
      </c>
      <c r="U28" s="33" t="e">
        <f t="shared" si="1"/>
        <v>#REF!</v>
      </c>
      <c r="V28" s="33" t="e">
        <f t="shared" si="2"/>
        <v>#REF!</v>
      </c>
      <c r="W28" s="33" t="e">
        <f t="shared" si="3"/>
        <v>#REF!</v>
      </c>
      <c r="X28" s="33" t="e">
        <f t="shared" si="4"/>
        <v>#REF!</v>
      </c>
      <c r="Y28" s="131" t="s">
        <v>198</v>
      </c>
      <c r="Z28" s="35"/>
    </row>
    <row r="29" spans="1:26" x14ac:dyDescent="0.25">
      <c r="A29" s="161" t="s">
        <v>14</v>
      </c>
      <c r="B29" s="162"/>
      <c r="C29" s="29" t="e">
        <f>#REF!</f>
        <v>#REF!</v>
      </c>
      <c r="D29" s="29" t="e">
        <f>#REF!</f>
        <v>#REF!</v>
      </c>
      <c r="E29" s="29" t="e">
        <f>#REF!</f>
        <v>#REF!</v>
      </c>
      <c r="F29" s="29" t="e">
        <f>#REF!</f>
        <v>#REF!</v>
      </c>
      <c r="G29" s="29" t="e">
        <f>#REF!</f>
        <v>#REF!</v>
      </c>
      <c r="H29" s="29" t="e">
        <f>#REF!</f>
        <v>#REF!</v>
      </c>
      <c r="I29" s="29" t="e">
        <f>#REF!</f>
        <v>#REF!</v>
      </c>
      <c r="J29" s="29" t="e">
        <f>#REF!</f>
        <v>#REF!</v>
      </c>
      <c r="K29" s="29" t="e">
        <f>#REF!</f>
        <v>#REF!</v>
      </c>
      <c r="L29" s="29" t="e">
        <f>#REF!</f>
        <v>#REF!</v>
      </c>
      <c r="M29" s="135">
        <v>2500</v>
      </c>
      <c r="N29" s="135">
        <v>1</v>
      </c>
      <c r="O29" s="33" t="e">
        <f t="shared" si="19"/>
        <v>#REF!</v>
      </c>
      <c r="P29" s="33" t="e">
        <f t="shared" si="20"/>
        <v>#REF!</v>
      </c>
      <c r="Q29" s="33" t="e">
        <f t="shared" si="21"/>
        <v>#REF!</v>
      </c>
      <c r="R29" s="33" t="e">
        <f t="shared" si="22"/>
        <v>#REF!</v>
      </c>
      <c r="S29" s="33" t="e">
        <f t="shared" si="23"/>
        <v>#REF!</v>
      </c>
      <c r="T29" s="33" t="e">
        <f t="shared" si="0"/>
        <v>#REF!</v>
      </c>
      <c r="U29" s="33" t="e">
        <f t="shared" si="1"/>
        <v>#REF!</v>
      </c>
      <c r="V29" s="33" t="e">
        <f t="shared" si="2"/>
        <v>#REF!</v>
      </c>
      <c r="W29" s="33" t="e">
        <f t="shared" si="3"/>
        <v>#REF!</v>
      </c>
      <c r="X29" s="33" t="e">
        <f t="shared" si="4"/>
        <v>#REF!</v>
      </c>
      <c r="Y29" s="132"/>
      <c r="Z29" s="35"/>
    </row>
    <row r="30" spans="1:26" x14ac:dyDescent="0.25">
      <c r="A30" s="84" t="s">
        <v>15</v>
      </c>
      <c r="B30" s="77" t="s">
        <v>199</v>
      </c>
      <c r="C30" s="29" t="e">
        <f>#REF!</f>
        <v>#REF!</v>
      </c>
      <c r="D30" s="29" t="e">
        <f>#REF!</f>
        <v>#REF!</v>
      </c>
      <c r="E30" s="29" t="e">
        <f>#REF!</f>
        <v>#REF!</v>
      </c>
      <c r="F30" s="29" t="e">
        <f>#REF!</f>
        <v>#REF!</v>
      </c>
      <c r="G30" s="29" t="e">
        <f>#REF!</f>
        <v>#REF!</v>
      </c>
      <c r="H30" s="29" t="e">
        <f>#REF!</f>
        <v>#REF!</v>
      </c>
      <c r="I30" s="29" t="e">
        <f>#REF!</f>
        <v>#REF!</v>
      </c>
      <c r="J30" s="29" t="e">
        <f>#REF!</f>
        <v>#REF!</v>
      </c>
      <c r="K30" s="29" t="e">
        <f>#REF!</f>
        <v>#REF!</v>
      </c>
      <c r="L30" s="29" t="e">
        <f>#REF!</f>
        <v>#REF!</v>
      </c>
      <c r="M30" s="135">
        <v>2500</v>
      </c>
      <c r="N30" s="135">
        <v>1</v>
      </c>
      <c r="O30" s="33" t="e">
        <f t="shared" si="19"/>
        <v>#REF!</v>
      </c>
      <c r="P30" s="33" t="e">
        <f t="shared" si="20"/>
        <v>#REF!</v>
      </c>
      <c r="Q30" s="33" t="e">
        <f t="shared" si="21"/>
        <v>#REF!</v>
      </c>
      <c r="R30" s="33" t="e">
        <f t="shared" si="22"/>
        <v>#REF!</v>
      </c>
      <c r="S30" s="33" t="e">
        <f t="shared" si="23"/>
        <v>#REF!</v>
      </c>
      <c r="T30" s="33" t="e">
        <f t="shared" si="0"/>
        <v>#REF!</v>
      </c>
      <c r="U30" s="33" t="e">
        <f t="shared" si="1"/>
        <v>#REF!</v>
      </c>
      <c r="V30" s="33" t="e">
        <f t="shared" si="2"/>
        <v>#REF!</v>
      </c>
      <c r="W30" s="33" t="e">
        <f t="shared" si="3"/>
        <v>#REF!</v>
      </c>
      <c r="X30" s="33" t="e">
        <f t="shared" si="4"/>
        <v>#REF!</v>
      </c>
      <c r="Y30" s="131" t="s">
        <v>198</v>
      </c>
      <c r="Z30" s="35"/>
    </row>
    <row r="31" spans="1:26" x14ac:dyDescent="0.25">
      <c r="A31" s="84" t="s">
        <v>17</v>
      </c>
      <c r="B31" s="77" t="s">
        <v>199</v>
      </c>
      <c r="C31" s="169" t="e">
        <f>#REF!</f>
        <v>#REF!</v>
      </c>
      <c r="D31" s="169" t="e">
        <f>#REF!</f>
        <v>#REF!</v>
      </c>
      <c r="E31" s="169" t="e">
        <f>#REF!</f>
        <v>#REF!</v>
      </c>
      <c r="F31" s="169" t="e">
        <f>#REF!</f>
        <v>#REF!</v>
      </c>
      <c r="G31" s="169" t="e">
        <f>#REF!</f>
        <v>#REF!</v>
      </c>
      <c r="H31" s="169" t="e">
        <f>#REF!</f>
        <v>#REF!</v>
      </c>
      <c r="I31" s="169" t="e">
        <f>#REF!</f>
        <v>#REF!</v>
      </c>
      <c r="J31" s="169" t="e">
        <f>#REF!</f>
        <v>#REF!</v>
      </c>
      <c r="K31" s="169" t="e">
        <f>#REF!</f>
        <v>#REF!</v>
      </c>
      <c r="L31" s="169" t="e">
        <f>#REF!</f>
        <v>#REF!</v>
      </c>
      <c r="M31" s="157">
        <v>2500</v>
      </c>
      <c r="N31" s="135">
        <v>1</v>
      </c>
      <c r="O31" s="33" t="e">
        <f t="shared" si="19"/>
        <v>#REF!</v>
      </c>
      <c r="P31" s="33" t="e">
        <f t="shared" si="20"/>
        <v>#REF!</v>
      </c>
      <c r="Q31" s="33" t="e">
        <f t="shared" si="21"/>
        <v>#REF!</v>
      </c>
      <c r="R31" s="33" t="e">
        <f t="shared" si="22"/>
        <v>#REF!</v>
      </c>
      <c r="S31" s="33" t="e">
        <f t="shared" si="23"/>
        <v>#REF!</v>
      </c>
      <c r="T31" s="33" t="e">
        <f t="shared" si="0"/>
        <v>#REF!</v>
      </c>
      <c r="U31" s="33" t="e">
        <f t="shared" si="1"/>
        <v>#REF!</v>
      </c>
      <c r="V31" s="33" t="e">
        <f t="shared" si="2"/>
        <v>#REF!</v>
      </c>
      <c r="W31" s="33" t="e">
        <f t="shared" si="3"/>
        <v>#REF!</v>
      </c>
      <c r="X31" s="33" t="e">
        <f t="shared" si="4"/>
        <v>#REF!</v>
      </c>
      <c r="Y31" s="131" t="s">
        <v>198</v>
      </c>
      <c r="Z31" s="35"/>
    </row>
    <row r="32" spans="1:26" x14ac:dyDescent="0.25">
      <c r="A32" s="161" t="s">
        <v>18</v>
      </c>
      <c r="B32" s="162"/>
      <c r="C32" s="29" t="e">
        <f>#REF!</f>
        <v>#REF!</v>
      </c>
      <c r="D32" s="29" t="e">
        <f>#REF!</f>
        <v>#REF!</v>
      </c>
      <c r="E32" s="29" t="e">
        <f>#REF!</f>
        <v>#REF!</v>
      </c>
      <c r="F32" s="29" t="e">
        <f>#REF!</f>
        <v>#REF!</v>
      </c>
      <c r="G32" s="29" t="e">
        <f>#REF!</f>
        <v>#REF!</v>
      </c>
      <c r="H32" s="29" t="e">
        <f>#REF!</f>
        <v>#REF!</v>
      </c>
      <c r="I32" s="29" t="e">
        <f>#REF!</f>
        <v>#REF!</v>
      </c>
      <c r="J32" s="29" t="e">
        <f>#REF!</f>
        <v>#REF!</v>
      </c>
      <c r="K32" s="29" t="e">
        <f>#REF!</f>
        <v>#REF!</v>
      </c>
      <c r="L32" s="29" t="e">
        <f>#REF!</f>
        <v>#REF!</v>
      </c>
      <c r="M32" s="135">
        <v>2500</v>
      </c>
      <c r="N32" s="135">
        <v>1</v>
      </c>
      <c r="O32" s="33" t="e">
        <f t="shared" si="19"/>
        <v>#REF!</v>
      </c>
      <c r="P32" s="33" t="e">
        <f t="shared" si="20"/>
        <v>#REF!</v>
      </c>
      <c r="Q32" s="33" t="e">
        <f t="shared" si="21"/>
        <v>#REF!</v>
      </c>
      <c r="R32" s="33" t="e">
        <f t="shared" si="22"/>
        <v>#REF!</v>
      </c>
      <c r="S32" s="33" t="e">
        <f t="shared" si="23"/>
        <v>#REF!</v>
      </c>
      <c r="T32" s="33" t="e">
        <f t="shared" si="0"/>
        <v>#REF!</v>
      </c>
      <c r="U32" s="33" t="e">
        <f t="shared" si="1"/>
        <v>#REF!</v>
      </c>
      <c r="V32" s="33" t="e">
        <f t="shared" si="2"/>
        <v>#REF!</v>
      </c>
      <c r="W32" s="33" t="e">
        <f t="shared" si="3"/>
        <v>#REF!</v>
      </c>
      <c r="X32" s="33" t="e">
        <f t="shared" si="4"/>
        <v>#REF!</v>
      </c>
      <c r="Y32" s="132"/>
      <c r="Z32" s="35"/>
    </row>
    <row r="33" spans="1:26" x14ac:dyDescent="0.25">
      <c r="A33" s="161" t="s">
        <v>19</v>
      </c>
      <c r="B33" s="162"/>
      <c r="C33" s="29" t="e">
        <f>#REF!</f>
        <v>#REF!</v>
      </c>
      <c r="D33" s="29" t="e">
        <f>#REF!</f>
        <v>#REF!</v>
      </c>
      <c r="E33" s="29" t="e">
        <f>#REF!</f>
        <v>#REF!</v>
      </c>
      <c r="F33" s="29" t="e">
        <f>#REF!</f>
        <v>#REF!</v>
      </c>
      <c r="G33" s="29" t="e">
        <f>#REF!</f>
        <v>#REF!</v>
      </c>
      <c r="H33" s="29" t="e">
        <f>#REF!</f>
        <v>#REF!</v>
      </c>
      <c r="I33" s="29" t="e">
        <f>#REF!</f>
        <v>#REF!</v>
      </c>
      <c r="J33" s="29" t="e">
        <f>#REF!</f>
        <v>#REF!</v>
      </c>
      <c r="K33" s="29" t="e">
        <f>#REF!</f>
        <v>#REF!</v>
      </c>
      <c r="L33" s="29" t="e">
        <f>#REF!</f>
        <v>#REF!</v>
      </c>
      <c r="M33" s="135">
        <v>2500</v>
      </c>
      <c r="N33" s="135">
        <v>1</v>
      </c>
      <c r="O33" s="33" t="e">
        <f t="shared" si="19"/>
        <v>#REF!</v>
      </c>
      <c r="P33" s="33" t="e">
        <f t="shared" si="20"/>
        <v>#REF!</v>
      </c>
      <c r="Q33" s="33" t="e">
        <f t="shared" si="21"/>
        <v>#REF!</v>
      </c>
      <c r="R33" s="33" t="e">
        <f t="shared" si="22"/>
        <v>#REF!</v>
      </c>
      <c r="S33" s="33" t="e">
        <f t="shared" si="23"/>
        <v>#REF!</v>
      </c>
      <c r="T33" s="33" t="e">
        <f t="shared" si="0"/>
        <v>#REF!</v>
      </c>
      <c r="U33" s="33" t="e">
        <f t="shared" si="1"/>
        <v>#REF!</v>
      </c>
      <c r="V33" s="33" t="e">
        <f t="shared" si="2"/>
        <v>#REF!</v>
      </c>
      <c r="W33" s="33" t="e">
        <f t="shared" si="3"/>
        <v>#REF!</v>
      </c>
      <c r="X33" s="33" t="e">
        <f t="shared" si="4"/>
        <v>#REF!</v>
      </c>
      <c r="Y33" s="132"/>
      <c r="Z33" s="35"/>
    </row>
    <row r="34" spans="1:26" x14ac:dyDescent="0.25">
      <c r="A34" s="161" t="s">
        <v>20</v>
      </c>
      <c r="B34" s="162"/>
      <c r="C34" s="29" t="e">
        <f>#REF!</f>
        <v>#REF!</v>
      </c>
      <c r="D34" s="29" t="e">
        <f>#REF!</f>
        <v>#REF!</v>
      </c>
      <c r="E34" s="29" t="e">
        <f>#REF!</f>
        <v>#REF!</v>
      </c>
      <c r="F34" s="29" t="e">
        <f>#REF!</f>
        <v>#REF!</v>
      </c>
      <c r="G34" s="29" t="e">
        <f>#REF!</f>
        <v>#REF!</v>
      </c>
      <c r="H34" s="29" t="e">
        <f>#REF!</f>
        <v>#REF!</v>
      </c>
      <c r="I34" s="29" t="e">
        <f>#REF!</f>
        <v>#REF!</v>
      </c>
      <c r="J34" s="29" t="e">
        <f>#REF!</f>
        <v>#REF!</v>
      </c>
      <c r="K34" s="29" t="e">
        <f>#REF!</f>
        <v>#REF!</v>
      </c>
      <c r="L34" s="29" t="e">
        <f>#REF!</f>
        <v>#REF!</v>
      </c>
      <c r="M34" s="135">
        <v>2500</v>
      </c>
      <c r="N34" s="135">
        <v>1</v>
      </c>
      <c r="O34" s="33" t="e">
        <f t="shared" si="19"/>
        <v>#REF!</v>
      </c>
      <c r="P34" s="33" t="e">
        <f t="shared" si="20"/>
        <v>#REF!</v>
      </c>
      <c r="Q34" s="33" t="e">
        <f t="shared" si="21"/>
        <v>#REF!</v>
      </c>
      <c r="R34" s="33" t="e">
        <f t="shared" si="22"/>
        <v>#REF!</v>
      </c>
      <c r="S34" s="33" t="e">
        <f t="shared" si="23"/>
        <v>#REF!</v>
      </c>
      <c r="T34" s="33" t="e">
        <f t="shared" si="0"/>
        <v>#REF!</v>
      </c>
      <c r="U34" s="33" t="e">
        <f t="shared" si="1"/>
        <v>#REF!</v>
      </c>
      <c r="V34" s="33" t="e">
        <f t="shared" si="2"/>
        <v>#REF!</v>
      </c>
      <c r="W34" s="33" t="e">
        <f t="shared" si="3"/>
        <v>#REF!</v>
      </c>
      <c r="X34" s="33" t="e">
        <f t="shared" si="4"/>
        <v>#REF!</v>
      </c>
      <c r="Y34" s="132"/>
      <c r="Z34" s="35"/>
    </row>
    <row r="35" spans="1:26" x14ac:dyDescent="0.25">
      <c r="A35" s="84" t="s">
        <v>21</v>
      </c>
      <c r="B35" s="77" t="s">
        <v>199</v>
      </c>
      <c r="C35" s="29" t="e">
        <f>#REF!</f>
        <v>#REF!</v>
      </c>
      <c r="D35" s="29" t="e">
        <f>#REF!</f>
        <v>#REF!</v>
      </c>
      <c r="E35" s="29" t="e">
        <f>#REF!</f>
        <v>#REF!</v>
      </c>
      <c r="F35" s="29" t="e">
        <f>#REF!</f>
        <v>#REF!</v>
      </c>
      <c r="G35" s="29" t="e">
        <f>#REF!</f>
        <v>#REF!</v>
      </c>
      <c r="H35" s="29" t="e">
        <f>#REF!</f>
        <v>#REF!</v>
      </c>
      <c r="I35" s="29" t="e">
        <f>#REF!</f>
        <v>#REF!</v>
      </c>
      <c r="J35" s="29" t="e">
        <f>#REF!</f>
        <v>#REF!</v>
      </c>
      <c r="K35" s="29" t="e">
        <f>#REF!</f>
        <v>#REF!</v>
      </c>
      <c r="L35" s="29" t="e">
        <f>#REF!</f>
        <v>#REF!</v>
      </c>
      <c r="M35" s="135">
        <v>2500</v>
      </c>
      <c r="N35" s="135">
        <v>1</v>
      </c>
      <c r="O35" s="33" t="e">
        <f t="shared" si="19"/>
        <v>#REF!</v>
      </c>
      <c r="P35" s="33" t="e">
        <f t="shared" si="20"/>
        <v>#REF!</v>
      </c>
      <c r="Q35" s="33" t="e">
        <f t="shared" si="21"/>
        <v>#REF!</v>
      </c>
      <c r="R35" s="33" t="e">
        <f t="shared" si="22"/>
        <v>#REF!</v>
      </c>
      <c r="S35" s="33" t="e">
        <f t="shared" si="23"/>
        <v>#REF!</v>
      </c>
      <c r="T35" s="33" t="e">
        <f t="shared" si="0"/>
        <v>#REF!</v>
      </c>
      <c r="U35" s="33" t="e">
        <f t="shared" si="1"/>
        <v>#REF!</v>
      </c>
      <c r="V35" s="33" t="e">
        <f t="shared" si="2"/>
        <v>#REF!</v>
      </c>
      <c r="W35" s="33" t="e">
        <f t="shared" si="3"/>
        <v>#REF!</v>
      </c>
      <c r="X35" s="33" t="e">
        <f t="shared" si="4"/>
        <v>#REF!</v>
      </c>
      <c r="Y35" s="131" t="s">
        <v>198</v>
      </c>
      <c r="Z35" s="35"/>
    </row>
    <row r="36" spans="1:26" x14ac:dyDescent="0.25">
      <c r="A36" s="31" t="s">
        <v>22</v>
      </c>
      <c r="B36" s="88" t="s">
        <v>203</v>
      </c>
      <c r="C36" s="29" t="e">
        <f>#REF!</f>
        <v>#REF!</v>
      </c>
      <c r="D36" s="29" t="e">
        <f>#REF!</f>
        <v>#REF!</v>
      </c>
      <c r="E36" s="29" t="e">
        <f>#REF!</f>
        <v>#REF!</v>
      </c>
      <c r="F36" s="29" t="e">
        <f>#REF!</f>
        <v>#REF!</v>
      </c>
      <c r="G36" s="29" t="e">
        <f>#REF!</f>
        <v>#REF!</v>
      </c>
      <c r="H36" s="29" t="e">
        <f>#REF!</f>
        <v>#REF!</v>
      </c>
      <c r="I36" s="29" t="e">
        <f>#REF!</f>
        <v>#REF!</v>
      </c>
      <c r="J36" s="29" t="e">
        <f>#REF!</f>
        <v>#REF!</v>
      </c>
      <c r="K36" s="29" t="e">
        <f>#REF!</f>
        <v>#REF!</v>
      </c>
      <c r="L36" s="29" t="e">
        <f>#REF!</f>
        <v>#REF!</v>
      </c>
      <c r="M36" s="135">
        <v>2500</v>
      </c>
      <c r="N36" s="135">
        <v>1</v>
      </c>
      <c r="O36" s="33" t="e">
        <f t="shared" si="19"/>
        <v>#REF!</v>
      </c>
      <c r="P36" s="33" t="e">
        <f t="shared" si="20"/>
        <v>#REF!</v>
      </c>
      <c r="Q36" s="33" t="e">
        <f t="shared" si="21"/>
        <v>#REF!</v>
      </c>
      <c r="R36" s="33" t="e">
        <f t="shared" si="22"/>
        <v>#REF!</v>
      </c>
      <c r="S36" s="33" t="e">
        <f t="shared" si="23"/>
        <v>#REF!</v>
      </c>
      <c r="T36" s="33" t="e">
        <f t="shared" si="0"/>
        <v>#REF!</v>
      </c>
      <c r="U36" s="33" t="e">
        <f t="shared" si="1"/>
        <v>#REF!</v>
      </c>
      <c r="V36" s="33" t="e">
        <f t="shared" si="2"/>
        <v>#REF!</v>
      </c>
      <c r="W36" s="33" t="e">
        <f t="shared" si="3"/>
        <v>#REF!</v>
      </c>
      <c r="X36" s="33" t="e">
        <f t="shared" si="4"/>
        <v>#REF!</v>
      </c>
      <c r="Y36" s="130" t="s">
        <v>128</v>
      </c>
      <c r="Z36" s="35" t="s">
        <v>133</v>
      </c>
    </row>
    <row r="37" spans="1:26" x14ac:dyDescent="0.25">
      <c r="A37" s="85" t="s">
        <v>22</v>
      </c>
      <c r="B37" s="77" t="s">
        <v>199</v>
      </c>
      <c r="C37" s="29" t="e">
        <f>#REF!</f>
        <v>#REF!</v>
      </c>
      <c r="D37" s="29" t="e">
        <f>#REF!</f>
        <v>#REF!</v>
      </c>
      <c r="E37" s="29" t="e">
        <f>#REF!</f>
        <v>#REF!</v>
      </c>
      <c r="F37" s="29" t="e">
        <f>#REF!</f>
        <v>#REF!</v>
      </c>
      <c r="G37" s="29" t="e">
        <f>#REF!</f>
        <v>#REF!</v>
      </c>
      <c r="H37" s="29" t="e">
        <f>#REF!</f>
        <v>#REF!</v>
      </c>
      <c r="I37" s="29" t="e">
        <f>#REF!</f>
        <v>#REF!</v>
      </c>
      <c r="J37" s="29" t="e">
        <f>#REF!</f>
        <v>#REF!</v>
      </c>
      <c r="K37" s="29" t="e">
        <f>#REF!</f>
        <v>#REF!</v>
      </c>
      <c r="L37" s="29" t="e">
        <f>#REF!</f>
        <v>#REF!</v>
      </c>
      <c r="M37" s="135">
        <v>2500</v>
      </c>
      <c r="N37" s="135">
        <v>1</v>
      </c>
      <c r="O37" s="33" t="e">
        <f t="shared" si="19"/>
        <v>#REF!</v>
      </c>
      <c r="P37" s="33" t="e">
        <f t="shared" si="20"/>
        <v>#REF!</v>
      </c>
      <c r="Q37" s="33" t="e">
        <f t="shared" si="21"/>
        <v>#REF!</v>
      </c>
      <c r="R37" s="33" t="e">
        <f t="shared" si="22"/>
        <v>#REF!</v>
      </c>
      <c r="S37" s="33" t="e">
        <f t="shared" si="23"/>
        <v>#REF!</v>
      </c>
      <c r="T37" s="33" t="e">
        <f t="shared" si="0"/>
        <v>#REF!</v>
      </c>
      <c r="U37" s="33" t="e">
        <f t="shared" si="1"/>
        <v>#REF!</v>
      </c>
      <c r="V37" s="33" t="e">
        <f t="shared" si="2"/>
        <v>#REF!</v>
      </c>
      <c r="W37" s="33" t="e">
        <f t="shared" si="3"/>
        <v>#REF!</v>
      </c>
      <c r="X37" s="33" t="e">
        <f t="shared" si="4"/>
        <v>#REF!</v>
      </c>
      <c r="Y37" s="131" t="s">
        <v>198</v>
      </c>
      <c r="Z37" s="35"/>
    </row>
    <row r="38" spans="1:26" s="4" customFormat="1" x14ac:dyDescent="0.25">
      <c r="A38" s="165"/>
      <c r="B38" s="87"/>
      <c r="C38" s="29" t="e">
        <f>C37</f>
        <v>#REF!</v>
      </c>
      <c r="D38" s="29" t="e">
        <f t="shared" ref="D38:L38" si="24">D37</f>
        <v>#REF!</v>
      </c>
      <c r="E38" s="29" t="e">
        <f t="shared" si="24"/>
        <v>#REF!</v>
      </c>
      <c r="F38" s="29" t="e">
        <f t="shared" si="24"/>
        <v>#REF!</v>
      </c>
      <c r="G38" s="29" t="e">
        <f t="shared" si="24"/>
        <v>#REF!</v>
      </c>
      <c r="H38" s="29" t="e">
        <f t="shared" si="24"/>
        <v>#REF!</v>
      </c>
      <c r="I38" s="29" t="e">
        <f t="shared" si="24"/>
        <v>#REF!</v>
      </c>
      <c r="J38" s="29" t="e">
        <f t="shared" si="24"/>
        <v>#REF!</v>
      </c>
      <c r="K38" s="29" t="e">
        <f t="shared" si="24"/>
        <v>#REF!</v>
      </c>
      <c r="L38" s="29" t="e">
        <f t="shared" si="24"/>
        <v>#REF!</v>
      </c>
      <c r="M38" s="157"/>
      <c r="N38" s="157"/>
      <c r="O38" s="158"/>
      <c r="P38" s="158"/>
      <c r="Q38" s="158"/>
      <c r="R38" s="158"/>
      <c r="S38" s="158"/>
      <c r="T38" s="158"/>
      <c r="U38" s="158"/>
      <c r="V38" s="158"/>
      <c r="W38" s="158"/>
      <c r="X38" s="158"/>
      <c r="Y38" s="159"/>
      <c r="Z38" s="160"/>
    </row>
    <row r="39" spans="1:26" x14ac:dyDescent="0.25">
      <c r="A39" s="31" t="s">
        <v>23</v>
      </c>
      <c r="B39" s="88" t="s">
        <v>203</v>
      </c>
      <c r="C39" s="29" t="e">
        <f>#REF!</f>
        <v>#REF!</v>
      </c>
      <c r="D39" s="29" t="e">
        <f>#REF!</f>
        <v>#REF!</v>
      </c>
      <c r="E39" s="29" t="e">
        <f>#REF!</f>
        <v>#REF!</v>
      </c>
      <c r="F39" s="29" t="e">
        <f>#REF!</f>
        <v>#REF!</v>
      </c>
      <c r="G39" s="29" t="e">
        <f>#REF!</f>
        <v>#REF!</v>
      </c>
      <c r="H39" s="29" t="e">
        <f>#REF!</f>
        <v>#REF!</v>
      </c>
      <c r="I39" s="29" t="e">
        <f>#REF!</f>
        <v>#REF!</v>
      </c>
      <c r="J39" s="29" t="e">
        <f>#REF!</f>
        <v>#REF!</v>
      </c>
      <c r="K39" s="29" t="e">
        <f>#REF!</f>
        <v>#REF!</v>
      </c>
      <c r="L39" s="29" t="e">
        <f>#REF!</f>
        <v>#REF!</v>
      </c>
      <c r="M39" s="135">
        <v>2500</v>
      </c>
      <c r="N39" s="135">
        <v>1</v>
      </c>
      <c r="O39" s="33" t="e">
        <f>D39*M39</f>
        <v>#REF!</v>
      </c>
      <c r="P39" s="33" t="e">
        <f>F39*M39</f>
        <v>#REF!</v>
      </c>
      <c r="Q39" s="33" t="e">
        <f>H39*M39</f>
        <v>#REF!</v>
      </c>
      <c r="R39" s="33" t="e">
        <f>J39*M39</f>
        <v>#REF!</v>
      </c>
      <c r="S39" s="33" t="e">
        <f>L39*M39</f>
        <v>#REF!</v>
      </c>
      <c r="T39" s="33" t="e">
        <f t="shared" si="0"/>
        <v>#REF!</v>
      </c>
      <c r="U39" s="33" t="e">
        <f t="shared" si="1"/>
        <v>#REF!</v>
      </c>
      <c r="V39" s="33" t="e">
        <f t="shared" si="2"/>
        <v>#REF!</v>
      </c>
      <c r="W39" s="33" t="e">
        <f t="shared" si="3"/>
        <v>#REF!</v>
      </c>
      <c r="X39" s="33" t="e">
        <f t="shared" si="4"/>
        <v>#REF!</v>
      </c>
      <c r="Y39" s="130" t="s">
        <v>128</v>
      </c>
      <c r="Z39" s="35"/>
    </row>
    <row r="40" spans="1:26" x14ac:dyDescent="0.25">
      <c r="A40" s="85" t="s">
        <v>23</v>
      </c>
      <c r="B40" s="77" t="s">
        <v>199</v>
      </c>
      <c r="C40" s="29" t="e">
        <f>#REF!</f>
        <v>#REF!</v>
      </c>
      <c r="D40" s="29" t="e">
        <f>#REF!</f>
        <v>#REF!</v>
      </c>
      <c r="E40" s="29" t="e">
        <f>#REF!</f>
        <v>#REF!</v>
      </c>
      <c r="F40" s="29" t="e">
        <f>#REF!</f>
        <v>#REF!</v>
      </c>
      <c r="G40" s="29" t="e">
        <f>#REF!</f>
        <v>#REF!</v>
      </c>
      <c r="H40" s="29" t="e">
        <f>#REF!</f>
        <v>#REF!</v>
      </c>
      <c r="I40" s="29" t="e">
        <f>#REF!</f>
        <v>#REF!</v>
      </c>
      <c r="J40" s="29" t="e">
        <f>#REF!</f>
        <v>#REF!</v>
      </c>
      <c r="K40" s="29" t="e">
        <f>#REF!</f>
        <v>#REF!</v>
      </c>
      <c r="L40" s="29" t="e">
        <f>#REF!</f>
        <v>#REF!</v>
      </c>
      <c r="M40" s="135">
        <v>2500</v>
      </c>
      <c r="N40" s="135">
        <v>1</v>
      </c>
      <c r="O40" s="33" t="e">
        <f>D40*M40</f>
        <v>#REF!</v>
      </c>
      <c r="P40" s="33" t="e">
        <f>F40*M40</f>
        <v>#REF!</v>
      </c>
      <c r="Q40" s="33" t="e">
        <f>H40*M40</f>
        <v>#REF!</v>
      </c>
      <c r="R40" s="33" t="e">
        <f>J40*M40</f>
        <v>#REF!</v>
      </c>
      <c r="S40" s="33" t="e">
        <f>L40*M40</f>
        <v>#REF!</v>
      </c>
      <c r="T40" s="33" t="e">
        <f t="shared" si="0"/>
        <v>#REF!</v>
      </c>
      <c r="U40" s="33" t="e">
        <f t="shared" si="1"/>
        <v>#REF!</v>
      </c>
      <c r="V40" s="33" t="e">
        <f t="shared" si="2"/>
        <v>#REF!</v>
      </c>
      <c r="W40" s="33" t="e">
        <f t="shared" si="3"/>
        <v>#REF!</v>
      </c>
      <c r="X40" s="33" t="e">
        <f t="shared" si="4"/>
        <v>#REF!</v>
      </c>
      <c r="Y40" s="131" t="s">
        <v>198</v>
      </c>
      <c r="Z40" s="35"/>
    </row>
    <row r="41" spans="1:26" s="4" customFormat="1" x14ac:dyDescent="0.25">
      <c r="A41" s="165"/>
      <c r="B41" s="87"/>
      <c r="C41" s="29" t="e">
        <f>C40</f>
        <v>#REF!</v>
      </c>
      <c r="D41" s="29" t="e">
        <f t="shared" ref="D41:L41" si="25">D40</f>
        <v>#REF!</v>
      </c>
      <c r="E41" s="29" t="e">
        <f t="shared" si="25"/>
        <v>#REF!</v>
      </c>
      <c r="F41" s="29" t="e">
        <f t="shared" si="25"/>
        <v>#REF!</v>
      </c>
      <c r="G41" s="29" t="e">
        <f t="shared" si="25"/>
        <v>#REF!</v>
      </c>
      <c r="H41" s="29" t="e">
        <f t="shared" si="25"/>
        <v>#REF!</v>
      </c>
      <c r="I41" s="29" t="e">
        <f t="shared" si="25"/>
        <v>#REF!</v>
      </c>
      <c r="J41" s="29" t="e">
        <f t="shared" si="25"/>
        <v>#REF!</v>
      </c>
      <c r="K41" s="29" t="e">
        <f t="shared" si="25"/>
        <v>#REF!</v>
      </c>
      <c r="L41" s="29" t="e">
        <f t="shared" si="25"/>
        <v>#REF!</v>
      </c>
      <c r="M41" s="157"/>
      <c r="N41" s="157"/>
      <c r="O41" s="158"/>
      <c r="P41" s="158"/>
      <c r="Q41" s="158"/>
      <c r="R41" s="158"/>
      <c r="S41" s="158"/>
      <c r="T41" s="158"/>
      <c r="U41" s="158"/>
      <c r="V41" s="158"/>
      <c r="W41" s="158"/>
      <c r="X41" s="158"/>
      <c r="Y41" s="159"/>
      <c r="Z41" s="160"/>
    </row>
    <row r="42" spans="1:26" x14ac:dyDescent="0.25">
      <c r="A42" s="30" t="s">
        <v>24</v>
      </c>
      <c r="B42" s="80" t="s">
        <v>95</v>
      </c>
      <c r="C42" s="29" t="e">
        <f>#REF!</f>
        <v>#REF!</v>
      </c>
      <c r="D42" s="29" t="e">
        <f>#REF!</f>
        <v>#REF!</v>
      </c>
      <c r="E42" s="29" t="e">
        <f>#REF!</f>
        <v>#REF!</v>
      </c>
      <c r="F42" s="29" t="e">
        <f>#REF!</f>
        <v>#REF!</v>
      </c>
      <c r="G42" s="29" t="e">
        <f>#REF!</f>
        <v>#REF!</v>
      </c>
      <c r="H42" s="29" t="e">
        <f>#REF!</f>
        <v>#REF!</v>
      </c>
      <c r="I42" s="29" t="e">
        <f>#REF!</f>
        <v>#REF!</v>
      </c>
      <c r="J42" s="29" t="e">
        <f>#REF!</f>
        <v>#REF!</v>
      </c>
      <c r="K42" s="29" t="e">
        <f>#REF!</f>
        <v>#REF!</v>
      </c>
      <c r="L42" s="29" t="e">
        <f>#REF!</f>
        <v>#REF!</v>
      </c>
      <c r="M42" s="135">
        <v>2500</v>
      </c>
      <c r="N42" s="135">
        <v>1</v>
      </c>
      <c r="O42" s="33" t="e">
        <f>D42*M42</f>
        <v>#REF!</v>
      </c>
      <c r="P42" s="33" t="e">
        <f>F42*M42</f>
        <v>#REF!</v>
      </c>
      <c r="Q42" s="33" t="e">
        <f>H42*M42</f>
        <v>#REF!</v>
      </c>
      <c r="R42" s="33" t="e">
        <f>J42*M42</f>
        <v>#REF!</v>
      </c>
      <c r="S42" s="33" t="e">
        <f>L42*M42</f>
        <v>#REF!</v>
      </c>
      <c r="T42" s="33" t="e">
        <f t="shared" si="0"/>
        <v>#REF!</v>
      </c>
      <c r="U42" s="33" t="e">
        <f t="shared" si="1"/>
        <v>#REF!</v>
      </c>
      <c r="V42" s="33" t="e">
        <f t="shared" si="2"/>
        <v>#REF!</v>
      </c>
      <c r="W42" s="33" t="e">
        <f t="shared" si="3"/>
        <v>#REF!</v>
      </c>
      <c r="X42" s="33" t="e">
        <f t="shared" si="4"/>
        <v>#REF!</v>
      </c>
      <c r="Y42" s="24" t="s">
        <v>81</v>
      </c>
      <c r="Z42" s="35" t="s">
        <v>122</v>
      </c>
    </row>
    <row r="43" spans="1:26" x14ac:dyDescent="0.25">
      <c r="A43" s="31" t="s">
        <v>24</v>
      </c>
      <c r="B43" s="88" t="s">
        <v>203</v>
      </c>
      <c r="C43" s="29" t="e">
        <f>#REF!</f>
        <v>#REF!</v>
      </c>
      <c r="D43" s="29" t="e">
        <f>#REF!</f>
        <v>#REF!</v>
      </c>
      <c r="E43" s="29" t="e">
        <f>#REF!</f>
        <v>#REF!</v>
      </c>
      <c r="F43" s="29" t="e">
        <f>#REF!</f>
        <v>#REF!</v>
      </c>
      <c r="G43" s="29" t="e">
        <f>#REF!</f>
        <v>#REF!</v>
      </c>
      <c r="H43" s="29" t="e">
        <f>#REF!</f>
        <v>#REF!</v>
      </c>
      <c r="I43" s="29" t="e">
        <f>#REF!</f>
        <v>#REF!</v>
      </c>
      <c r="J43" s="29" t="e">
        <f>#REF!</f>
        <v>#REF!</v>
      </c>
      <c r="K43" s="29" t="e">
        <f>#REF!</f>
        <v>#REF!</v>
      </c>
      <c r="L43" s="29" t="e">
        <f>#REF!</f>
        <v>#REF!</v>
      </c>
      <c r="M43" s="135">
        <v>2500</v>
      </c>
      <c r="N43" s="135">
        <v>1</v>
      </c>
      <c r="O43" s="33" t="e">
        <f>D43*M43</f>
        <v>#REF!</v>
      </c>
      <c r="P43" s="33" t="e">
        <f>F43*M43</f>
        <v>#REF!</v>
      </c>
      <c r="Q43" s="33" t="e">
        <f>H43*M43</f>
        <v>#REF!</v>
      </c>
      <c r="R43" s="33" t="e">
        <f>J43*M43</f>
        <v>#REF!</v>
      </c>
      <c r="S43" s="33" t="e">
        <f>L43*M43</f>
        <v>#REF!</v>
      </c>
      <c r="T43" s="33" t="e">
        <f t="shared" si="0"/>
        <v>#REF!</v>
      </c>
      <c r="U43" s="33" t="e">
        <f t="shared" si="1"/>
        <v>#REF!</v>
      </c>
      <c r="V43" s="33" t="e">
        <f t="shared" si="2"/>
        <v>#REF!</v>
      </c>
      <c r="W43" s="33" t="e">
        <f t="shared" si="3"/>
        <v>#REF!</v>
      </c>
      <c r="X43" s="33" t="e">
        <f t="shared" si="4"/>
        <v>#REF!</v>
      </c>
      <c r="Y43" s="130" t="s">
        <v>128</v>
      </c>
      <c r="Z43" s="35" t="s">
        <v>129</v>
      </c>
    </row>
    <row r="44" spans="1:26" x14ac:dyDescent="0.25">
      <c r="A44" s="85" t="s">
        <v>24</v>
      </c>
      <c r="B44" s="77" t="s">
        <v>199</v>
      </c>
      <c r="C44" s="29" t="e">
        <f>#REF!</f>
        <v>#REF!</v>
      </c>
      <c r="D44" s="29" t="e">
        <f>#REF!</f>
        <v>#REF!</v>
      </c>
      <c r="E44" s="29" t="e">
        <f>#REF!</f>
        <v>#REF!</v>
      </c>
      <c r="F44" s="29" t="e">
        <f>#REF!</f>
        <v>#REF!</v>
      </c>
      <c r="G44" s="29" t="e">
        <f>#REF!</f>
        <v>#REF!</v>
      </c>
      <c r="H44" s="29" t="e">
        <f>#REF!</f>
        <v>#REF!</v>
      </c>
      <c r="I44" s="29" t="e">
        <f>#REF!</f>
        <v>#REF!</v>
      </c>
      <c r="J44" s="29" t="e">
        <f>#REF!</f>
        <v>#REF!</v>
      </c>
      <c r="K44" s="29" t="e">
        <f>#REF!</f>
        <v>#REF!</v>
      </c>
      <c r="L44" s="29" t="e">
        <f>#REF!</f>
        <v>#REF!</v>
      </c>
      <c r="M44" s="135">
        <v>2500</v>
      </c>
      <c r="N44" s="135">
        <v>1</v>
      </c>
      <c r="O44" s="33" t="e">
        <f>D44*M44</f>
        <v>#REF!</v>
      </c>
      <c r="P44" s="33" t="e">
        <f>F44*M44</f>
        <v>#REF!</v>
      </c>
      <c r="Q44" s="33" t="e">
        <f>H44*M44</f>
        <v>#REF!</v>
      </c>
      <c r="R44" s="33" t="e">
        <f>J44*M44</f>
        <v>#REF!</v>
      </c>
      <c r="S44" s="33" t="e">
        <f>L44*M44</f>
        <v>#REF!</v>
      </c>
      <c r="T44" s="33" t="e">
        <f t="shared" si="0"/>
        <v>#REF!</v>
      </c>
      <c r="U44" s="33" t="e">
        <f t="shared" si="1"/>
        <v>#REF!</v>
      </c>
      <c r="V44" s="33" t="e">
        <f t="shared" si="2"/>
        <v>#REF!</v>
      </c>
      <c r="W44" s="33" t="e">
        <f t="shared" si="3"/>
        <v>#REF!</v>
      </c>
      <c r="X44" s="33" t="e">
        <f t="shared" si="4"/>
        <v>#REF!</v>
      </c>
      <c r="Y44" s="131" t="s">
        <v>198</v>
      </c>
      <c r="Z44" s="35"/>
    </row>
    <row r="45" spans="1:26" x14ac:dyDescent="0.25">
      <c r="A45" s="127" t="s">
        <v>24</v>
      </c>
      <c r="B45" s="126"/>
      <c r="C45" s="29" t="e">
        <f>#REF!</f>
        <v>#REF!</v>
      </c>
      <c r="D45" s="29" t="e">
        <f>#REF!</f>
        <v>#REF!</v>
      </c>
      <c r="E45" s="29" t="e">
        <f>#REF!</f>
        <v>#REF!</v>
      </c>
      <c r="F45" s="29" t="e">
        <f>#REF!</f>
        <v>#REF!</v>
      </c>
      <c r="G45" s="29" t="e">
        <f>#REF!</f>
        <v>#REF!</v>
      </c>
      <c r="H45" s="29" t="e">
        <f>#REF!</f>
        <v>#REF!</v>
      </c>
      <c r="I45" s="29" t="e">
        <f>#REF!</f>
        <v>#REF!</v>
      </c>
      <c r="J45" s="29" t="e">
        <f>#REF!</f>
        <v>#REF!</v>
      </c>
      <c r="K45" s="29" t="e">
        <f>#REF!</f>
        <v>#REF!</v>
      </c>
      <c r="L45" s="29" t="e">
        <f>#REF!</f>
        <v>#REF!</v>
      </c>
      <c r="M45" s="135">
        <v>2500</v>
      </c>
      <c r="N45" s="135">
        <v>1</v>
      </c>
      <c r="O45" s="33" t="e">
        <f>D45*M45</f>
        <v>#REF!</v>
      </c>
      <c r="P45" s="33" t="e">
        <f>F45*M45</f>
        <v>#REF!</v>
      </c>
      <c r="Q45" s="33" t="e">
        <f>H45*M45</f>
        <v>#REF!</v>
      </c>
      <c r="R45" s="33" t="e">
        <f>J45*M45</f>
        <v>#REF!</v>
      </c>
      <c r="S45" s="33" t="e">
        <f>L45*M45</f>
        <v>#REF!</v>
      </c>
      <c r="T45" s="33" t="e">
        <f t="shared" si="0"/>
        <v>#REF!</v>
      </c>
      <c r="U45" s="33" t="e">
        <f t="shared" si="1"/>
        <v>#REF!</v>
      </c>
      <c r="V45" s="33" t="e">
        <f t="shared" si="2"/>
        <v>#REF!</v>
      </c>
      <c r="W45" s="33" t="e">
        <f t="shared" si="3"/>
        <v>#REF!</v>
      </c>
      <c r="X45" s="33" t="e">
        <f t="shared" si="4"/>
        <v>#REF!</v>
      </c>
      <c r="Y45" s="133" t="s">
        <v>85</v>
      </c>
      <c r="Z45" s="35"/>
    </row>
    <row r="46" spans="1:26" s="4" customFormat="1" x14ac:dyDescent="0.25">
      <c r="A46" s="165"/>
      <c r="B46" s="87"/>
      <c r="C46" s="29" t="e">
        <f>C42</f>
        <v>#REF!</v>
      </c>
      <c r="D46" s="29" t="e">
        <f t="shared" ref="D46:L46" si="26">D42</f>
        <v>#REF!</v>
      </c>
      <c r="E46" s="29" t="e">
        <f t="shared" si="26"/>
        <v>#REF!</v>
      </c>
      <c r="F46" s="29" t="e">
        <f t="shared" si="26"/>
        <v>#REF!</v>
      </c>
      <c r="G46" s="29" t="e">
        <f t="shared" si="26"/>
        <v>#REF!</v>
      </c>
      <c r="H46" s="29" t="e">
        <f t="shared" si="26"/>
        <v>#REF!</v>
      </c>
      <c r="I46" s="29" t="e">
        <f t="shared" si="26"/>
        <v>#REF!</v>
      </c>
      <c r="J46" s="29" t="e">
        <f t="shared" si="26"/>
        <v>#REF!</v>
      </c>
      <c r="K46" s="29" t="e">
        <f t="shared" si="26"/>
        <v>#REF!</v>
      </c>
      <c r="L46" s="29" t="e">
        <f t="shared" si="26"/>
        <v>#REF!</v>
      </c>
      <c r="M46" s="157"/>
      <c r="N46" s="157"/>
      <c r="O46" s="158"/>
      <c r="P46" s="158"/>
      <c r="Q46" s="158"/>
      <c r="R46" s="158"/>
      <c r="S46" s="158"/>
      <c r="T46" s="158"/>
      <c r="U46" s="158"/>
      <c r="V46" s="158"/>
      <c r="W46" s="158"/>
      <c r="X46" s="158"/>
      <c r="Y46" s="167"/>
      <c r="Z46" s="160"/>
    </row>
    <row r="47" spans="1:26" x14ac:dyDescent="0.25">
      <c r="A47" s="31" t="s">
        <v>1</v>
      </c>
      <c r="B47" s="88" t="s">
        <v>203</v>
      </c>
      <c r="C47" s="29" t="e">
        <f>#REF!</f>
        <v>#REF!</v>
      </c>
      <c r="D47" s="29" t="e">
        <f>#REF!</f>
        <v>#REF!</v>
      </c>
      <c r="E47" s="29" t="e">
        <f>#REF!</f>
        <v>#REF!</v>
      </c>
      <c r="F47" s="29" t="e">
        <f>#REF!</f>
        <v>#REF!</v>
      </c>
      <c r="G47" s="29" t="e">
        <f>#REF!</f>
        <v>#REF!</v>
      </c>
      <c r="H47" s="29" t="e">
        <f>#REF!</f>
        <v>#REF!</v>
      </c>
      <c r="I47" s="29" t="e">
        <f>#REF!</f>
        <v>#REF!</v>
      </c>
      <c r="J47" s="29" t="e">
        <f>#REF!</f>
        <v>#REF!</v>
      </c>
      <c r="K47" s="29" t="e">
        <f>#REF!</f>
        <v>#REF!</v>
      </c>
      <c r="L47" s="29" t="e">
        <f>#REF!</f>
        <v>#REF!</v>
      </c>
      <c r="M47" s="135">
        <v>2500</v>
      </c>
      <c r="N47" s="135">
        <v>1</v>
      </c>
      <c r="O47" s="33" t="e">
        <f>D47*M47</f>
        <v>#REF!</v>
      </c>
      <c r="P47" s="33" t="e">
        <f>F47*M47</f>
        <v>#REF!</v>
      </c>
      <c r="Q47" s="33" t="e">
        <f>H47*M47</f>
        <v>#REF!</v>
      </c>
      <c r="R47" s="33" t="e">
        <f>J47*M47</f>
        <v>#REF!</v>
      </c>
      <c r="S47" s="33" t="e">
        <f>L47*M47</f>
        <v>#REF!</v>
      </c>
      <c r="T47" s="33" t="e">
        <f t="shared" si="0"/>
        <v>#REF!</v>
      </c>
      <c r="U47" s="33" t="e">
        <f t="shared" si="1"/>
        <v>#REF!</v>
      </c>
      <c r="V47" s="33" t="e">
        <f t="shared" si="2"/>
        <v>#REF!</v>
      </c>
      <c r="W47" s="33" t="e">
        <f t="shared" si="3"/>
        <v>#REF!</v>
      </c>
      <c r="X47" s="33" t="e">
        <f t="shared" si="4"/>
        <v>#REF!</v>
      </c>
      <c r="Y47" s="130" t="s">
        <v>128</v>
      </c>
      <c r="Z47" s="35" t="s">
        <v>134</v>
      </c>
    </row>
    <row r="48" spans="1:26" x14ac:dyDescent="0.25">
      <c r="A48" s="85" t="s">
        <v>1</v>
      </c>
      <c r="B48" s="77" t="s">
        <v>199</v>
      </c>
      <c r="C48" s="29" t="e">
        <f>#REF!</f>
        <v>#REF!</v>
      </c>
      <c r="D48" s="29" t="e">
        <f>#REF!</f>
        <v>#REF!</v>
      </c>
      <c r="E48" s="29" t="e">
        <f>#REF!</f>
        <v>#REF!</v>
      </c>
      <c r="F48" s="29" t="e">
        <f>#REF!</f>
        <v>#REF!</v>
      </c>
      <c r="G48" s="29" t="e">
        <f>#REF!</f>
        <v>#REF!</v>
      </c>
      <c r="H48" s="29" t="e">
        <f>#REF!</f>
        <v>#REF!</v>
      </c>
      <c r="I48" s="29" t="e">
        <f>#REF!</f>
        <v>#REF!</v>
      </c>
      <c r="J48" s="29" t="e">
        <f>#REF!</f>
        <v>#REF!</v>
      </c>
      <c r="K48" s="29" t="e">
        <f>#REF!</f>
        <v>#REF!</v>
      </c>
      <c r="L48" s="29" t="e">
        <f>#REF!</f>
        <v>#REF!</v>
      </c>
      <c r="M48" s="135">
        <v>2500</v>
      </c>
      <c r="N48" s="135">
        <v>1</v>
      </c>
      <c r="O48" s="33" t="e">
        <f>D48*M48</f>
        <v>#REF!</v>
      </c>
      <c r="P48" s="33" t="e">
        <f>F48*M48</f>
        <v>#REF!</v>
      </c>
      <c r="Q48" s="33" t="e">
        <f>H48*M48</f>
        <v>#REF!</v>
      </c>
      <c r="R48" s="33" t="e">
        <f>J48*M48</f>
        <v>#REF!</v>
      </c>
      <c r="S48" s="33" t="e">
        <f>L48*M48</f>
        <v>#REF!</v>
      </c>
      <c r="T48" s="33" t="e">
        <f t="shared" si="0"/>
        <v>#REF!</v>
      </c>
      <c r="U48" s="33" t="e">
        <f t="shared" si="1"/>
        <v>#REF!</v>
      </c>
      <c r="V48" s="33" t="e">
        <f t="shared" si="2"/>
        <v>#REF!</v>
      </c>
      <c r="W48" s="33" t="e">
        <f t="shared" si="3"/>
        <v>#REF!</v>
      </c>
      <c r="X48" s="33" t="e">
        <f t="shared" si="4"/>
        <v>#REF!</v>
      </c>
      <c r="Y48" s="131" t="s">
        <v>198</v>
      </c>
      <c r="Z48" s="35"/>
    </row>
    <row r="49" spans="1:26" s="4" customFormat="1" x14ac:dyDescent="0.25">
      <c r="A49" s="165"/>
      <c r="B49" s="87"/>
      <c r="C49" s="29" t="e">
        <f>C48</f>
        <v>#REF!</v>
      </c>
      <c r="D49" s="29" t="e">
        <f t="shared" ref="D49:L49" si="27">D48</f>
        <v>#REF!</v>
      </c>
      <c r="E49" s="29" t="e">
        <f t="shared" si="27"/>
        <v>#REF!</v>
      </c>
      <c r="F49" s="29" t="e">
        <f t="shared" si="27"/>
        <v>#REF!</v>
      </c>
      <c r="G49" s="29" t="e">
        <f t="shared" si="27"/>
        <v>#REF!</v>
      </c>
      <c r="H49" s="29" t="e">
        <f t="shared" si="27"/>
        <v>#REF!</v>
      </c>
      <c r="I49" s="29" t="e">
        <f t="shared" si="27"/>
        <v>#REF!</v>
      </c>
      <c r="J49" s="29" t="e">
        <f t="shared" si="27"/>
        <v>#REF!</v>
      </c>
      <c r="K49" s="29" t="e">
        <f t="shared" si="27"/>
        <v>#REF!</v>
      </c>
      <c r="L49" s="29" t="e">
        <f t="shared" si="27"/>
        <v>#REF!</v>
      </c>
      <c r="M49" s="157"/>
      <c r="N49" s="157"/>
      <c r="O49" s="158"/>
      <c r="P49" s="158"/>
      <c r="Q49" s="158"/>
      <c r="R49" s="158"/>
      <c r="S49" s="158"/>
      <c r="T49" s="158"/>
      <c r="U49" s="158"/>
      <c r="V49" s="158"/>
      <c r="W49" s="158"/>
      <c r="X49" s="158"/>
      <c r="Y49" s="159"/>
      <c r="Z49" s="160"/>
    </row>
    <row r="50" spans="1:26" x14ac:dyDescent="0.25">
      <c r="A50" s="84" t="s">
        <v>25</v>
      </c>
      <c r="B50" s="77" t="s">
        <v>199</v>
      </c>
      <c r="C50" s="29" t="e">
        <f>#REF!</f>
        <v>#REF!</v>
      </c>
      <c r="D50" s="29" t="e">
        <f>#REF!</f>
        <v>#REF!</v>
      </c>
      <c r="E50" s="29" t="e">
        <f>#REF!</f>
        <v>#REF!</v>
      </c>
      <c r="F50" s="29" t="e">
        <f>#REF!</f>
        <v>#REF!</v>
      </c>
      <c r="G50" s="29" t="e">
        <f>#REF!</f>
        <v>#REF!</v>
      </c>
      <c r="H50" s="29" t="e">
        <f>#REF!</f>
        <v>#REF!</v>
      </c>
      <c r="I50" s="29" t="e">
        <f>#REF!</f>
        <v>#REF!</v>
      </c>
      <c r="J50" s="29" t="e">
        <f>#REF!</f>
        <v>#REF!</v>
      </c>
      <c r="K50" s="29" t="e">
        <f>#REF!</f>
        <v>#REF!</v>
      </c>
      <c r="L50" s="29" t="e">
        <f>#REF!</f>
        <v>#REF!</v>
      </c>
      <c r="M50" s="135">
        <v>2500</v>
      </c>
      <c r="N50" s="135">
        <v>1</v>
      </c>
      <c r="O50" s="33" t="e">
        <f t="shared" ref="O50:O66" si="28">D50*M50</f>
        <v>#REF!</v>
      </c>
      <c r="P50" s="33" t="e">
        <f t="shared" ref="P50:P66" si="29">F50*M50</f>
        <v>#REF!</v>
      </c>
      <c r="Q50" s="33" t="e">
        <f t="shared" ref="Q50:Q66" si="30">H50*M50</f>
        <v>#REF!</v>
      </c>
      <c r="R50" s="33" t="e">
        <f t="shared" ref="R50:R66" si="31">J50*M50</f>
        <v>#REF!</v>
      </c>
      <c r="S50" s="33" t="e">
        <f t="shared" ref="S50:S66" si="32">L50*M50</f>
        <v>#REF!</v>
      </c>
      <c r="T50" s="33" t="e">
        <f t="shared" si="0"/>
        <v>#REF!</v>
      </c>
      <c r="U50" s="33" t="e">
        <f t="shared" si="1"/>
        <v>#REF!</v>
      </c>
      <c r="V50" s="33" t="e">
        <f t="shared" si="2"/>
        <v>#REF!</v>
      </c>
      <c r="W50" s="33" t="e">
        <f t="shared" si="3"/>
        <v>#REF!</v>
      </c>
      <c r="X50" s="33" t="e">
        <f t="shared" si="4"/>
        <v>#REF!</v>
      </c>
      <c r="Y50" s="131" t="s">
        <v>198</v>
      </c>
      <c r="Z50" s="35"/>
    </row>
    <row r="51" spans="1:26" x14ac:dyDescent="0.25">
      <c r="A51" s="84" t="s">
        <v>26</v>
      </c>
      <c r="B51" s="77" t="s">
        <v>199</v>
      </c>
      <c r="C51" s="29" t="e">
        <f>#REF!</f>
        <v>#REF!</v>
      </c>
      <c r="D51" s="29" t="e">
        <f>#REF!</f>
        <v>#REF!</v>
      </c>
      <c r="E51" s="29" t="e">
        <f>#REF!</f>
        <v>#REF!</v>
      </c>
      <c r="F51" s="29" t="e">
        <f>#REF!</f>
        <v>#REF!</v>
      </c>
      <c r="G51" s="29" t="e">
        <f>#REF!</f>
        <v>#REF!</v>
      </c>
      <c r="H51" s="29" t="e">
        <f>#REF!</f>
        <v>#REF!</v>
      </c>
      <c r="I51" s="29" t="e">
        <f>#REF!</f>
        <v>#REF!</v>
      </c>
      <c r="J51" s="29" t="e">
        <f>#REF!</f>
        <v>#REF!</v>
      </c>
      <c r="K51" s="29" t="e">
        <f>#REF!</f>
        <v>#REF!</v>
      </c>
      <c r="L51" s="29" t="e">
        <f>#REF!</f>
        <v>#REF!</v>
      </c>
      <c r="M51" s="135">
        <v>2500</v>
      </c>
      <c r="N51" s="135">
        <v>1</v>
      </c>
      <c r="O51" s="33" t="e">
        <f t="shared" si="28"/>
        <v>#REF!</v>
      </c>
      <c r="P51" s="33" t="e">
        <f t="shared" si="29"/>
        <v>#REF!</v>
      </c>
      <c r="Q51" s="33" t="e">
        <f t="shared" si="30"/>
        <v>#REF!</v>
      </c>
      <c r="R51" s="33" t="e">
        <f t="shared" si="31"/>
        <v>#REF!</v>
      </c>
      <c r="S51" s="33" t="e">
        <f t="shared" si="32"/>
        <v>#REF!</v>
      </c>
      <c r="T51" s="33" t="e">
        <f t="shared" si="0"/>
        <v>#REF!</v>
      </c>
      <c r="U51" s="33" t="e">
        <f t="shared" si="1"/>
        <v>#REF!</v>
      </c>
      <c r="V51" s="33" t="e">
        <f t="shared" si="2"/>
        <v>#REF!</v>
      </c>
      <c r="W51" s="33" t="e">
        <f t="shared" si="3"/>
        <v>#REF!</v>
      </c>
      <c r="X51" s="33" t="e">
        <f t="shared" si="4"/>
        <v>#REF!</v>
      </c>
      <c r="Y51" s="131" t="s">
        <v>198</v>
      </c>
      <c r="Z51" s="35"/>
    </row>
    <row r="52" spans="1:26" x14ac:dyDescent="0.25">
      <c r="A52" s="84" t="s">
        <v>189</v>
      </c>
      <c r="B52" s="77" t="s">
        <v>199</v>
      </c>
      <c r="C52" s="29" t="e">
        <f>#REF!</f>
        <v>#REF!</v>
      </c>
      <c r="D52" s="29" t="e">
        <f>#REF!</f>
        <v>#REF!</v>
      </c>
      <c r="E52" s="29" t="e">
        <f>#REF!</f>
        <v>#REF!</v>
      </c>
      <c r="F52" s="29" t="e">
        <f>#REF!</f>
        <v>#REF!</v>
      </c>
      <c r="G52" s="29" t="e">
        <f>#REF!</f>
        <v>#REF!</v>
      </c>
      <c r="H52" s="29" t="e">
        <f>#REF!</f>
        <v>#REF!</v>
      </c>
      <c r="I52" s="29" t="e">
        <f>#REF!</f>
        <v>#REF!</v>
      </c>
      <c r="J52" s="29" t="e">
        <f>#REF!</f>
        <v>#REF!</v>
      </c>
      <c r="K52" s="29" t="e">
        <f>#REF!</f>
        <v>#REF!</v>
      </c>
      <c r="L52" s="29" t="e">
        <f>#REF!</f>
        <v>#REF!</v>
      </c>
      <c r="M52" s="135">
        <v>2500</v>
      </c>
      <c r="N52" s="135">
        <v>1</v>
      </c>
      <c r="O52" s="33" t="e">
        <f t="shared" si="28"/>
        <v>#REF!</v>
      </c>
      <c r="P52" s="33" t="e">
        <f t="shared" si="29"/>
        <v>#REF!</v>
      </c>
      <c r="Q52" s="33" t="e">
        <f t="shared" si="30"/>
        <v>#REF!</v>
      </c>
      <c r="R52" s="33" t="e">
        <f t="shared" si="31"/>
        <v>#REF!</v>
      </c>
      <c r="S52" s="33" t="e">
        <f t="shared" si="32"/>
        <v>#REF!</v>
      </c>
      <c r="T52" s="33" t="e">
        <f t="shared" si="0"/>
        <v>#REF!</v>
      </c>
      <c r="U52" s="33" t="e">
        <f t="shared" si="1"/>
        <v>#REF!</v>
      </c>
      <c r="V52" s="33" t="e">
        <f t="shared" si="2"/>
        <v>#REF!</v>
      </c>
      <c r="W52" s="33" t="e">
        <f t="shared" si="3"/>
        <v>#REF!</v>
      </c>
      <c r="X52" s="33" t="e">
        <f t="shared" si="4"/>
        <v>#REF!</v>
      </c>
      <c r="Y52" s="131" t="s">
        <v>198</v>
      </c>
      <c r="Z52" s="35"/>
    </row>
    <row r="53" spans="1:26" x14ac:dyDescent="0.25">
      <c r="A53" s="84" t="s">
        <v>190</v>
      </c>
      <c r="B53" s="77" t="s">
        <v>199</v>
      </c>
      <c r="C53" s="29" t="e">
        <f>#REF!</f>
        <v>#REF!</v>
      </c>
      <c r="D53" s="29" t="e">
        <f>#REF!</f>
        <v>#REF!</v>
      </c>
      <c r="E53" s="29" t="e">
        <f>#REF!</f>
        <v>#REF!</v>
      </c>
      <c r="F53" s="29" t="e">
        <f>#REF!</f>
        <v>#REF!</v>
      </c>
      <c r="G53" s="29" t="e">
        <f>#REF!</f>
        <v>#REF!</v>
      </c>
      <c r="H53" s="29" t="e">
        <f>#REF!</f>
        <v>#REF!</v>
      </c>
      <c r="I53" s="29" t="e">
        <f>#REF!</f>
        <v>#REF!</v>
      </c>
      <c r="J53" s="29" t="e">
        <f>#REF!</f>
        <v>#REF!</v>
      </c>
      <c r="K53" s="29" t="e">
        <f>#REF!</f>
        <v>#REF!</v>
      </c>
      <c r="L53" s="29" t="e">
        <f>#REF!</f>
        <v>#REF!</v>
      </c>
      <c r="M53" s="135">
        <v>2500</v>
      </c>
      <c r="N53" s="135">
        <v>1</v>
      </c>
      <c r="O53" s="33" t="e">
        <f t="shared" si="28"/>
        <v>#REF!</v>
      </c>
      <c r="P53" s="33" t="e">
        <f t="shared" si="29"/>
        <v>#REF!</v>
      </c>
      <c r="Q53" s="33" t="e">
        <f t="shared" si="30"/>
        <v>#REF!</v>
      </c>
      <c r="R53" s="33" t="e">
        <f t="shared" si="31"/>
        <v>#REF!</v>
      </c>
      <c r="S53" s="33" t="e">
        <f t="shared" si="32"/>
        <v>#REF!</v>
      </c>
      <c r="T53" s="33" t="e">
        <f t="shared" si="0"/>
        <v>#REF!</v>
      </c>
      <c r="U53" s="33" t="e">
        <f t="shared" si="1"/>
        <v>#REF!</v>
      </c>
      <c r="V53" s="33" t="e">
        <f t="shared" si="2"/>
        <v>#REF!</v>
      </c>
      <c r="W53" s="33" t="e">
        <f t="shared" si="3"/>
        <v>#REF!</v>
      </c>
      <c r="X53" s="33" t="e">
        <f t="shared" si="4"/>
        <v>#REF!</v>
      </c>
      <c r="Y53" s="131" t="s">
        <v>198</v>
      </c>
      <c r="Z53" s="35"/>
    </row>
    <row r="54" spans="1:26" x14ac:dyDescent="0.25">
      <c r="A54" s="84" t="s">
        <v>105</v>
      </c>
      <c r="B54" s="77" t="s">
        <v>199</v>
      </c>
      <c r="C54" s="29" t="e">
        <f>#REF!</f>
        <v>#REF!</v>
      </c>
      <c r="D54" s="29" t="e">
        <f>#REF!</f>
        <v>#REF!</v>
      </c>
      <c r="E54" s="29" t="e">
        <f>#REF!</f>
        <v>#REF!</v>
      </c>
      <c r="F54" s="29" t="e">
        <f>#REF!</f>
        <v>#REF!</v>
      </c>
      <c r="G54" s="29" t="e">
        <f>#REF!</f>
        <v>#REF!</v>
      </c>
      <c r="H54" s="29" t="e">
        <f>#REF!</f>
        <v>#REF!</v>
      </c>
      <c r="I54" s="29" t="e">
        <f>#REF!</f>
        <v>#REF!</v>
      </c>
      <c r="J54" s="29" t="e">
        <f>#REF!</f>
        <v>#REF!</v>
      </c>
      <c r="K54" s="29" t="e">
        <f>#REF!</f>
        <v>#REF!</v>
      </c>
      <c r="L54" s="29" t="e">
        <f>#REF!</f>
        <v>#REF!</v>
      </c>
      <c r="M54" s="135">
        <v>2500</v>
      </c>
      <c r="N54" s="135">
        <v>1</v>
      </c>
      <c r="O54" s="33" t="e">
        <f t="shared" si="28"/>
        <v>#REF!</v>
      </c>
      <c r="P54" s="33" t="e">
        <f t="shared" si="29"/>
        <v>#REF!</v>
      </c>
      <c r="Q54" s="33" t="e">
        <f t="shared" si="30"/>
        <v>#REF!</v>
      </c>
      <c r="R54" s="33" t="e">
        <f t="shared" si="31"/>
        <v>#REF!</v>
      </c>
      <c r="S54" s="33" t="e">
        <f t="shared" si="32"/>
        <v>#REF!</v>
      </c>
      <c r="T54" s="33" t="e">
        <f t="shared" si="0"/>
        <v>#REF!</v>
      </c>
      <c r="U54" s="33" t="e">
        <f t="shared" si="1"/>
        <v>#REF!</v>
      </c>
      <c r="V54" s="33" t="e">
        <f t="shared" si="2"/>
        <v>#REF!</v>
      </c>
      <c r="W54" s="33" t="e">
        <f t="shared" si="3"/>
        <v>#REF!</v>
      </c>
      <c r="X54" s="33" t="e">
        <f t="shared" si="4"/>
        <v>#REF!</v>
      </c>
      <c r="Y54" s="131" t="s">
        <v>198</v>
      </c>
      <c r="Z54" s="35"/>
    </row>
    <row r="55" spans="1:26" x14ac:dyDescent="0.25">
      <c r="A55" s="237" t="s">
        <v>191</v>
      </c>
      <c r="B55" s="246" t="s">
        <v>199</v>
      </c>
      <c r="C55" s="29" t="e">
        <f>#REF!</f>
        <v>#REF!</v>
      </c>
      <c r="D55" s="29" t="e">
        <f>#REF!</f>
        <v>#REF!</v>
      </c>
      <c r="E55" s="29" t="e">
        <f>#REF!</f>
        <v>#REF!</v>
      </c>
      <c r="F55" s="29" t="e">
        <f>#REF!</f>
        <v>#REF!</v>
      </c>
      <c r="G55" s="29" t="e">
        <f>#REF!</f>
        <v>#REF!</v>
      </c>
      <c r="H55" s="29" t="e">
        <f>#REF!</f>
        <v>#REF!</v>
      </c>
      <c r="I55" s="29" t="e">
        <f>#REF!</f>
        <v>#REF!</v>
      </c>
      <c r="J55" s="29" t="e">
        <f>#REF!</f>
        <v>#REF!</v>
      </c>
      <c r="K55" s="29" t="e">
        <f>#REF!</f>
        <v>#REF!</v>
      </c>
      <c r="L55" s="29" t="e">
        <f>#REF!</f>
        <v>#REF!</v>
      </c>
      <c r="M55" s="135">
        <v>2500</v>
      </c>
      <c r="N55" s="135">
        <v>1</v>
      </c>
      <c r="O55" s="33" t="e">
        <f t="shared" si="28"/>
        <v>#REF!</v>
      </c>
      <c r="P55" s="33" t="e">
        <f t="shared" si="29"/>
        <v>#REF!</v>
      </c>
      <c r="Q55" s="33" t="e">
        <f t="shared" si="30"/>
        <v>#REF!</v>
      </c>
      <c r="R55" s="33" t="e">
        <f t="shared" si="31"/>
        <v>#REF!</v>
      </c>
      <c r="S55" s="33" t="e">
        <f t="shared" si="32"/>
        <v>#REF!</v>
      </c>
      <c r="T55" s="33" t="e">
        <f t="shared" si="0"/>
        <v>#REF!</v>
      </c>
      <c r="U55" s="33" t="e">
        <f t="shared" si="1"/>
        <v>#REF!</v>
      </c>
      <c r="V55" s="33" t="e">
        <f t="shared" si="2"/>
        <v>#REF!</v>
      </c>
      <c r="W55" s="33" t="e">
        <f t="shared" si="3"/>
        <v>#REF!</v>
      </c>
      <c r="X55" s="33" t="e">
        <f t="shared" si="4"/>
        <v>#REF!</v>
      </c>
      <c r="Y55" s="245" t="s">
        <v>413</v>
      </c>
      <c r="Z55" s="35"/>
    </row>
    <row r="56" spans="1:26" x14ac:dyDescent="0.25">
      <c r="A56" s="161" t="s">
        <v>27</v>
      </c>
      <c r="B56" s="162"/>
      <c r="C56" s="29" t="e">
        <f>#REF!</f>
        <v>#REF!</v>
      </c>
      <c r="D56" s="29" t="e">
        <f>#REF!</f>
        <v>#REF!</v>
      </c>
      <c r="E56" s="29" t="e">
        <f>#REF!</f>
        <v>#REF!</v>
      </c>
      <c r="F56" s="29" t="e">
        <f>#REF!</f>
        <v>#REF!</v>
      </c>
      <c r="G56" s="29" t="e">
        <f>#REF!</f>
        <v>#REF!</v>
      </c>
      <c r="H56" s="29" t="e">
        <f>#REF!</f>
        <v>#REF!</v>
      </c>
      <c r="I56" s="29" t="e">
        <f>#REF!</f>
        <v>#REF!</v>
      </c>
      <c r="J56" s="29" t="e">
        <f>#REF!</f>
        <v>#REF!</v>
      </c>
      <c r="K56" s="29" t="e">
        <f>#REF!</f>
        <v>#REF!</v>
      </c>
      <c r="L56" s="29" t="e">
        <f>#REF!</f>
        <v>#REF!</v>
      </c>
      <c r="M56" s="135">
        <v>2500</v>
      </c>
      <c r="N56" s="135">
        <v>1</v>
      </c>
      <c r="O56" s="33" t="e">
        <f t="shared" si="28"/>
        <v>#REF!</v>
      </c>
      <c r="P56" s="33" t="e">
        <f t="shared" si="29"/>
        <v>#REF!</v>
      </c>
      <c r="Q56" s="33" t="e">
        <f t="shared" si="30"/>
        <v>#REF!</v>
      </c>
      <c r="R56" s="33" t="e">
        <f t="shared" si="31"/>
        <v>#REF!</v>
      </c>
      <c r="S56" s="33" t="e">
        <f t="shared" si="32"/>
        <v>#REF!</v>
      </c>
      <c r="T56" s="33" t="e">
        <f t="shared" si="0"/>
        <v>#REF!</v>
      </c>
      <c r="U56" s="33" t="e">
        <f t="shared" si="1"/>
        <v>#REF!</v>
      </c>
      <c r="V56" s="33" t="e">
        <f t="shared" si="2"/>
        <v>#REF!</v>
      </c>
      <c r="W56" s="33" t="e">
        <f t="shared" si="3"/>
        <v>#REF!</v>
      </c>
      <c r="X56" s="33" t="e">
        <f t="shared" si="4"/>
        <v>#REF!</v>
      </c>
      <c r="Y56" s="132"/>
      <c r="Z56" s="35"/>
    </row>
    <row r="57" spans="1:26" x14ac:dyDescent="0.25">
      <c r="A57" s="161" t="s">
        <v>28</v>
      </c>
      <c r="B57" s="163"/>
      <c r="C57" s="29" t="e">
        <f>#REF!</f>
        <v>#REF!</v>
      </c>
      <c r="D57" s="29" t="e">
        <f>#REF!</f>
        <v>#REF!</v>
      </c>
      <c r="E57" s="29" t="e">
        <f>#REF!</f>
        <v>#REF!</v>
      </c>
      <c r="F57" s="29" t="e">
        <f>#REF!</f>
        <v>#REF!</v>
      </c>
      <c r="G57" s="29" t="e">
        <f>#REF!</f>
        <v>#REF!</v>
      </c>
      <c r="H57" s="29" t="e">
        <f>#REF!</f>
        <v>#REF!</v>
      </c>
      <c r="I57" s="29" t="e">
        <f>#REF!</f>
        <v>#REF!</v>
      </c>
      <c r="J57" s="29" t="e">
        <f>#REF!</f>
        <v>#REF!</v>
      </c>
      <c r="K57" s="29" t="e">
        <f>#REF!</f>
        <v>#REF!</v>
      </c>
      <c r="L57" s="29" t="e">
        <f>#REF!</f>
        <v>#REF!</v>
      </c>
      <c r="M57" s="135">
        <v>2500</v>
      </c>
      <c r="N57" s="135">
        <v>1</v>
      </c>
      <c r="O57" s="33" t="e">
        <f t="shared" si="28"/>
        <v>#REF!</v>
      </c>
      <c r="P57" s="33" t="e">
        <f t="shared" si="29"/>
        <v>#REF!</v>
      </c>
      <c r="Q57" s="33" t="e">
        <f t="shared" si="30"/>
        <v>#REF!</v>
      </c>
      <c r="R57" s="33" t="e">
        <f t="shared" si="31"/>
        <v>#REF!</v>
      </c>
      <c r="S57" s="33" t="e">
        <f t="shared" si="32"/>
        <v>#REF!</v>
      </c>
      <c r="T57" s="33" t="e">
        <f t="shared" si="0"/>
        <v>#REF!</v>
      </c>
      <c r="U57" s="33" t="e">
        <f t="shared" si="1"/>
        <v>#REF!</v>
      </c>
      <c r="V57" s="33" t="e">
        <f t="shared" si="2"/>
        <v>#REF!</v>
      </c>
      <c r="W57" s="33" t="e">
        <f t="shared" si="3"/>
        <v>#REF!</v>
      </c>
      <c r="X57" s="33" t="e">
        <f t="shared" si="4"/>
        <v>#REF!</v>
      </c>
      <c r="Y57" s="132"/>
      <c r="Z57" s="35"/>
    </row>
    <row r="58" spans="1:26" x14ac:dyDescent="0.25">
      <c r="A58" s="161" t="s">
        <v>29</v>
      </c>
      <c r="B58" s="162"/>
      <c r="C58" s="29" t="e">
        <f>#REF!</f>
        <v>#REF!</v>
      </c>
      <c r="D58" s="29" t="e">
        <f>#REF!</f>
        <v>#REF!</v>
      </c>
      <c r="E58" s="29" t="e">
        <f>#REF!</f>
        <v>#REF!</v>
      </c>
      <c r="F58" s="29" t="e">
        <f>#REF!</f>
        <v>#REF!</v>
      </c>
      <c r="G58" s="29" t="e">
        <f>#REF!</f>
        <v>#REF!</v>
      </c>
      <c r="H58" s="29" t="e">
        <f>#REF!</f>
        <v>#REF!</v>
      </c>
      <c r="I58" s="29" t="e">
        <f>#REF!</f>
        <v>#REF!</v>
      </c>
      <c r="J58" s="29" t="e">
        <f>#REF!</f>
        <v>#REF!</v>
      </c>
      <c r="K58" s="29" t="e">
        <f>#REF!</f>
        <v>#REF!</v>
      </c>
      <c r="L58" s="29" t="e">
        <f>#REF!</f>
        <v>#REF!</v>
      </c>
      <c r="M58" s="135">
        <v>2500</v>
      </c>
      <c r="N58" s="135">
        <v>1</v>
      </c>
      <c r="O58" s="33" t="e">
        <f t="shared" si="28"/>
        <v>#REF!</v>
      </c>
      <c r="P58" s="33" t="e">
        <f t="shared" si="29"/>
        <v>#REF!</v>
      </c>
      <c r="Q58" s="33" t="e">
        <f t="shared" si="30"/>
        <v>#REF!</v>
      </c>
      <c r="R58" s="33" t="e">
        <f t="shared" si="31"/>
        <v>#REF!</v>
      </c>
      <c r="S58" s="33" t="e">
        <f t="shared" si="32"/>
        <v>#REF!</v>
      </c>
      <c r="T58" s="33" t="e">
        <f t="shared" si="0"/>
        <v>#REF!</v>
      </c>
      <c r="U58" s="33" t="e">
        <f t="shared" si="1"/>
        <v>#REF!</v>
      </c>
      <c r="V58" s="33" t="e">
        <f t="shared" si="2"/>
        <v>#REF!</v>
      </c>
      <c r="W58" s="33" t="e">
        <f t="shared" si="3"/>
        <v>#REF!</v>
      </c>
      <c r="X58" s="33" t="e">
        <f t="shared" si="4"/>
        <v>#REF!</v>
      </c>
      <c r="Y58" s="132"/>
      <c r="Z58" s="35"/>
    </row>
    <row r="59" spans="1:26" x14ac:dyDescent="0.25">
      <c r="A59" s="161" t="s">
        <v>33</v>
      </c>
      <c r="B59" s="162"/>
      <c r="C59" s="29" t="e">
        <f>#REF!</f>
        <v>#REF!</v>
      </c>
      <c r="D59" s="29" t="e">
        <f>#REF!</f>
        <v>#REF!</v>
      </c>
      <c r="E59" s="29" t="e">
        <f>#REF!</f>
        <v>#REF!</v>
      </c>
      <c r="F59" s="29" t="e">
        <f>#REF!</f>
        <v>#REF!</v>
      </c>
      <c r="G59" s="29" t="e">
        <f>#REF!</f>
        <v>#REF!</v>
      </c>
      <c r="H59" s="29" t="e">
        <f>#REF!</f>
        <v>#REF!</v>
      </c>
      <c r="I59" s="29" t="e">
        <f>#REF!</f>
        <v>#REF!</v>
      </c>
      <c r="J59" s="29" t="e">
        <f>#REF!</f>
        <v>#REF!</v>
      </c>
      <c r="K59" s="29" t="e">
        <f>#REF!</f>
        <v>#REF!</v>
      </c>
      <c r="L59" s="29" t="e">
        <f>#REF!</f>
        <v>#REF!</v>
      </c>
      <c r="M59" s="135">
        <v>2500</v>
      </c>
      <c r="N59" s="135">
        <v>1</v>
      </c>
      <c r="O59" s="33" t="e">
        <f t="shared" si="28"/>
        <v>#REF!</v>
      </c>
      <c r="P59" s="33" t="e">
        <f t="shared" si="29"/>
        <v>#REF!</v>
      </c>
      <c r="Q59" s="33" t="e">
        <f t="shared" si="30"/>
        <v>#REF!</v>
      </c>
      <c r="R59" s="33" t="e">
        <f t="shared" si="31"/>
        <v>#REF!</v>
      </c>
      <c r="S59" s="33" t="e">
        <f t="shared" si="32"/>
        <v>#REF!</v>
      </c>
      <c r="T59" s="33" t="e">
        <f t="shared" si="0"/>
        <v>#REF!</v>
      </c>
      <c r="U59" s="33" t="e">
        <f t="shared" si="1"/>
        <v>#REF!</v>
      </c>
      <c r="V59" s="33" t="e">
        <f t="shared" si="2"/>
        <v>#REF!</v>
      </c>
      <c r="W59" s="33" t="e">
        <f t="shared" si="3"/>
        <v>#REF!</v>
      </c>
      <c r="X59" s="33" t="e">
        <f t="shared" si="4"/>
        <v>#REF!</v>
      </c>
      <c r="Y59" s="132"/>
      <c r="Z59" s="35"/>
    </row>
    <row r="60" spans="1:26" x14ac:dyDescent="0.25">
      <c r="A60" s="161" t="s">
        <v>34</v>
      </c>
      <c r="B60" s="162"/>
      <c r="C60" s="29" t="e">
        <f>#REF!</f>
        <v>#REF!</v>
      </c>
      <c r="D60" s="29" t="e">
        <f>#REF!</f>
        <v>#REF!</v>
      </c>
      <c r="E60" s="29" t="e">
        <f>#REF!</f>
        <v>#REF!</v>
      </c>
      <c r="F60" s="29" t="e">
        <f>#REF!</f>
        <v>#REF!</v>
      </c>
      <c r="G60" s="29" t="e">
        <f>#REF!</f>
        <v>#REF!</v>
      </c>
      <c r="H60" s="29" t="e">
        <f>#REF!</f>
        <v>#REF!</v>
      </c>
      <c r="I60" s="29" t="e">
        <f>#REF!</f>
        <v>#REF!</v>
      </c>
      <c r="J60" s="29" t="e">
        <f>#REF!</f>
        <v>#REF!</v>
      </c>
      <c r="K60" s="29" t="e">
        <f>#REF!</f>
        <v>#REF!</v>
      </c>
      <c r="L60" s="29" t="e">
        <f>#REF!</f>
        <v>#REF!</v>
      </c>
      <c r="M60" s="135">
        <v>2500</v>
      </c>
      <c r="N60" s="135">
        <v>1</v>
      </c>
      <c r="O60" s="33" t="e">
        <f t="shared" si="28"/>
        <v>#REF!</v>
      </c>
      <c r="P60" s="33" t="e">
        <f t="shared" si="29"/>
        <v>#REF!</v>
      </c>
      <c r="Q60" s="33" t="e">
        <f t="shared" si="30"/>
        <v>#REF!</v>
      </c>
      <c r="R60" s="33" t="e">
        <f t="shared" si="31"/>
        <v>#REF!</v>
      </c>
      <c r="S60" s="33" t="e">
        <f t="shared" si="32"/>
        <v>#REF!</v>
      </c>
      <c r="T60" s="33" t="e">
        <f t="shared" si="0"/>
        <v>#REF!</v>
      </c>
      <c r="U60" s="33" t="e">
        <f t="shared" si="1"/>
        <v>#REF!</v>
      </c>
      <c r="V60" s="33" t="e">
        <f t="shared" si="2"/>
        <v>#REF!</v>
      </c>
      <c r="W60" s="33" t="e">
        <f t="shared" si="3"/>
        <v>#REF!</v>
      </c>
      <c r="X60" s="33" t="e">
        <f t="shared" si="4"/>
        <v>#REF!</v>
      </c>
      <c r="Y60" s="132"/>
      <c r="Z60" s="35"/>
    </row>
    <row r="61" spans="1:26" x14ac:dyDescent="0.25">
      <c r="A61" s="84" t="s">
        <v>171</v>
      </c>
      <c r="B61" s="77" t="s">
        <v>199</v>
      </c>
      <c r="C61" s="29" t="e">
        <f>#REF!</f>
        <v>#REF!</v>
      </c>
      <c r="D61" s="29" t="e">
        <f>#REF!</f>
        <v>#REF!</v>
      </c>
      <c r="E61" s="29" t="e">
        <f>#REF!</f>
        <v>#REF!</v>
      </c>
      <c r="F61" s="29" t="e">
        <f>#REF!</f>
        <v>#REF!</v>
      </c>
      <c r="G61" s="29" t="e">
        <f>#REF!</f>
        <v>#REF!</v>
      </c>
      <c r="H61" s="29" t="e">
        <f>#REF!</f>
        <v>#REF!</v>
      </c>
      <c r="I61" s="29" t="e">
        <f>#REF!</f>
        <v>#REF!</v>
      </c>
      <c r="J61" s="29" t="e">
        <f>#REF!</f>
        <v>#REF!</v>
      </c>
      <c r="K61" s="29" t="e">
        <f>#REF!</f>
        <v>#REF!</v>
      </c>
      <c r="L61" s="29" t="e">
        <f>#REF!</f>
        <v>#REF!</v>
      </c>
      <c r="M61" s="135">
        <v>2500</v>
      </c>
      <c r="N61" s="135">
        <v>1</v>
      </c>
      <c r="O61" s="33" t="e">
        <f t="shared" si="28"/>
        <v>#REF!</v>
      </c>
      <c r="P61" s="33" t="e">
        <f t="shared" si="29"/>
        <v>#REF!</v>
      </c>
      <c r="Q61" s="33" t="e">
        <f t="shared" si="30"/>
        <v>#REF!</v>
      </c>
      <c r="R61" s="33" t="e">
        <f t="shared" si="31"/>
        <v>#REF!</v>
      </c>
      <c r="S61" s="33" t="e">
        <f t="shared" si="32"/>
        <v>#REF!</v>
      </c>
      <c r="T61" s="33" t="e">
        <f t="shared" si="0"/>
        <v>#REF!</v>
      </c>
      <c r="U61" s="33" t="e">
        <f t="shared" si="1"/>
        <v>#REF!</v>
      </c>
      <c r="V61" s="33" t="e">
        <f t="shared" si="2"/>
        <v>#REF!</v>
      </c>
      <c r="W61" s="33" t="e">
        <f t="shared" si="3"/>
        <v>#REF!</v>
      </c>
      <c r="X61" s="33" t="e">
        <f t="shared" si="4"/>
        <v>#REF!</v>
      </c>
      <c r="Y61" s="131" t="s">
        <v>198</v>
      </c>
      <c r="Z61" s="35"/>
    </row>
    <row r="62" spans="1:26" x14ac:dyDescent="0.25">
      <c r="A62" s="84" t="s">
        <v>39</v>
      </c>
      <c r="B62" s="77" t="s">
        <v>199</v>
      </c>
      <c r="C62" s="29" t="e">
        <f>#REF!</f>
        <v>#REF!</v>
      </c>
      <c r="D62" s="29" t="e">
        <f>#REF!</f>
        <v>#REF!</v>
      </c>
      <c r="E62" s="29" t="e">
        <f>#REF!</f>
        <v>#REF!</v>
      </c>
      <c r="F62" s="29" t="e">
        <f>#REF!</f>
        <v>#REF!</v>
      </c>
      <c r="G62" s="29" t="e">
        <f>#REF!</f>
        <v>#REF!</v>
      </c>
      <c r="H62" s="29" t="e">
        <f>#REF!</f>
        <v>#REF!</v>
      </c>
      <c r="I62" s="29" t="e">
        <f>#REF!</f>
        <v>#REF!</v>
      </c>
      <c r="J62" s="29" t="e">
        <f>#REF!</f>
        <v>#REF!</v>
      </c>
      <c r="K62" s="29" t="e">
        <f>#REF!</f>
        <v>#REF!</v>
      </c>
      <c r="L62" s="29" t="e">
        <f>#REF!</f>
        <v>#REF!</v>
      </c>
      <c r="M62" s="135">
        <v>2500</v>
      </c>
      <c r="N62" s="135">
        <v>1</v>
      </c>
      <c r="O62" s="33" t="e">
        <f t="shared" si="28"/>
        <v>#REF!</v>
      </c>
      <c r="P62" s="33" t="e">
        <f t="shared" si="29"/>
        <v>#REF!</v>
      </c>
      <c r="Q62" s="33" t="e">
        <f t="shared" si="30"/>
        <v>#REF!</v>
      </c>
      <c r="R62" s="33" t="e">
        <f t="shared" si="31"/>
        <v>#REF!</v>
      </c>
      <c r="S62" s="33" t="e">
        <f t="shared" si="32"/>
        <v>#REF!</v>
      </c>
      <c r="T62" s="33" t="e">
        <f t="shared" si="0"/>
        <v>#REF!</v>
      </c>
      <c r="U62" s="33" t="e">
        <f t="shared" si="1"/>
        <v>#REF!</v>
      </c>
      <c r="V62" s="33" t="e">
        <f t="shared" si="2"/>
        <v>#REF!</v>
      </c>
      <c r="W62" s="33" t="e">
        <f t="shared" si="3"/>
        <v>#REF!</v>
      </c>
      <c r="X62" s="33" t="e">
        <f t="shared" si="4"/>
        <v>#REF!</v>
      </c>
      <c r="Y62" s="131" t="s">
        <v>198</v>
      </c>
      <c r="Z62" s="35"/>
    </row>
    <row r="63" spans="1:26" x14ac:dyDescent="0.25">
      <c r="A63" s="161" t="s">
        <v>40</v>
      </c>
      <c r="B63" s="162"/>
      <c r="C63" s="29" t="e">
        <f>#REF!</f>
        <v>#REF!</v>
      </c>
      <c r="D63" s="29" t="e">
        <f>#REF!</f>
        <v>#REF!</v>
      </c>
      <c r="E63" s="29" t="e">
        <f>#REF!</f>
        <v>#REF!</v>
      </c>
      <c r="F63" s="29" t="e">
        <f>#REF!</f>
        <v>#REF!</v>
      </c>
      <c r="G63" s="29" t="e">
        <f>#REF!</f>
        <v>#REF!</v>
      </c>
      <c r="H63" s="29" t="e">
        <f>#REF!</f>
        <v>#REF!</v>
      </c>
      <c r="I63" s="29" t="e">
        <f>#REF!</f>
        <v>#REF!</v>
      </c>
      <c r="J63" s="29" t="e">
        <f>#REF!</f>
        <v>#REF!</v>
      </c>
      <c r="K63" s="29" t="e">
        <f>#REF!</f>
        <v>#REF!</v>
      </c>
      <c r="L63" s="29" t="e">
        <f>#REF!</f>
        <v>#REF!</v>
      </c>
      <c r="M63" s="135">
        <v>2500</v>
      </c>
      <c r="N63" s="135">
        <v>1</v>
      </c>
      <c r="O63" s="33" t="e">
        <f t="shared" si="28"/>
        <v>#REF!</v>
      </c>
      <c r="P63" s="33" t="e">
        <f t="shared" si="29"/>
        <v>#REF!</v>
      </c>
      <c r="Q63" s="33" t="e">
        <f t="shared" si="30"/>
        <v>#REF!</v>
      </c>
      <c r="R63" s="33" t="e">
        <f t="shared" si="31"/>
        <v>#REF!</v>
      </c>
      <c r="S63" s="33" t="e">
        <f t="shared" si="32"/>
        <v>#REF!</v>
      </c>
      <c r="T63" s="33" t="e">
        <f t="shared" si="0"/>
        <v>#REF!</v>
      </c>
      <c r="U63" s="33" t="e">
        <f t="shared" si="1"/>
        <v>#REF!</v>
      </c>
      <c r="V63" s="33" t="e">
        <f t="shared" si="2"/>
        <v>#REF!</v>
      </c>
      <c r="W63" s="33" t="e">
        <f t="shared" si="3"/>
        <v>#REF!</v>
      </c>
      <c r="X63" s="33" t="e">
        <f t="shared" si="4"/>
        <v>#REF!</v>
      </c>
      <c r="Y63" s="132"/>
      <c r="Z63" s="35"/>
    </row>
    <row r="64" spans="1:26" x14ac:dyDescent="0.25">
      <c r="A64" s="161" t="s">
        <v>41</v>
      </c>
      <c r="B64" s="162"/>
      <c r="C64" s="29" t="e">
        <f>#REF!</f>
        <v>#REF!</v>
      </c>
      <c r="D64" s="29" t="e">
        <f>#REF!</f>
        <v>#REF!</v>
      </c>
      <c r="E64" s="29" t="e">
        <f>#REF!</f>
        <v>#REF!</v>
      </c>
      <c r="F64" s="29" t="e">
        <f>#REF!</f>
        <v>#REF!</v>
      </c>
      <c r="G64" s="29" t="e">
        <f>#REF!</f>
        <v>#REF!</v>
      </c>
      <c r="H64" s="29" t="e">
        <f>#REF!</f>
        <v>#REF!</v>
      </c>
      <c r="I64" s="29" t="e">
        <f>#REF!</f>
        <v>#REF!</v>
      </c>
      <c r="J64" s="29" t="e">
        <f>#REF!</f>
        <v>#REF!</v>
      </c>
      <c r="K64" s="29" t="e">
        <f>#REF!</f>
        <v>#REF!</v>
      </c>
      <c r="L64" s="29" t="e">
        <f>#REF!</f>
        <v>#REF!</v>
      </c>
      <c r="M64" s="135">
        <v>2500</v>
      </c>
      <c r="N64" s="135">
        <v>1</v>
      </c>
      <c r="O64" s="33" t="e">
        <f t="shared" si="28"/>
        <v>#REF!</v>
      </c>
      <c r="P64" s="33" t="e">
        <f t="shared" si="29"/>
        <v>#REF!</v>
      </c>
      <c r="Q64" s="33" t="e">
        <f t="shared" si="30"/>
        <v>#REF!</v>
      </c>
      <c r="R64" s="33" t="e">
        <f t="shared" si="31"/>
        <v>#REF!</v>
      </c>
      <c r="S64" s="33" t="e">
        <f t="shared" si="32"/>
        <v>#REF!</v>
      </c>
      <c r="T64" s="33" t="e">
        <f t="shared" si="0"/>
        <v>#REF!</v>
      </c>
      <c r="U64" s="33" t="e">
        <f t="shared" si="1"/>
        <v>#REF!</v>
      </c>
      <c r="V64" s="33" t="e">
        <f t="shared" si="2"/>
        <v>#REF!</v>
      </c>
      <c r="W64" s="33" t="e">
        <f t="shared" si="3"/>
        <v>#REF!</v>
      </c>
      <c r="X64" s="33" t="e">
        <f t="shared" si="4"/>
        <v>#REF!</v>
      </c>
      <c r="Y64" s="132"/>
      <c r="Z64" s="35"/>
    </row>
    <row r="65" spans="1:26" x14ac:dyDescent="0.25">
      <c r="A65" s="31" t="s">
        <v>42</v>
      </c>
      <c r="B65" s="88" t="s">
        <v>203</v>
      </c>
      <c r="C65" s="29" t="e">
        <f>#REF!</f>
        <v>#REF!</v>
      </c>
      <c r="D65" s="29" t="e">
        <f>#REF!</f>
        <v>#REF!</v>
      </c>
      <c r="E65" s="29" t="e">
        <f>#REF!</f>
        <v>#REF!</v>
      </c>
      <c r="F65" s="29" t="e">
        <f>#REF!</f>
        <v>#REF!</v>
      </c>
      <c r="G65" s="29" t="e">
        <f>#REF!</f>
        <v>#REF!</v>
      </c>
      <c r="H65" s="29" t="e">
        <f>#REF!</f>
        <v>#REF!</v>
      </c>
      <c r="I65" s="29" t="e">
        <f>#REF!</f>
        <v>#REF!</v>
      </c>
      <c r="J65" s="29" t="e">
        <f>#REF!</f>
        <v>#REF!</v>
      </c>
      <c r="K65" s="29" t="e">
        <f>#REF!</f>
        <v>#REF!</v>
      </c>
      <c r="L65" s="29" t="e">
        <f>#REF!</f>
        <v>#REF!</v>
      </c>
      <c r="M65" s="135">
        <v>2500</v>
      </c>
      <c r="N65" s="135">
        <v>1</v>
      </c>
      <c r="O65" s="33" t="e">
        <f t="shared" si="28"/>
        <v>#REF!</v>
      </c>
      <c r="P65" s="33" t="e">
        <f t="shared" si="29"/>
        <v>#REF!</v>
      </c>
      <c r="Q65" s="33" t="e">
        <f t="shared" si="30"/>
        <v>#REF!</v>
      </c>
      <c r="R65" s="33" t="e">
        <f t="shared" si="31"/>
        <v>#REF!</v>
      </c>
      <c r="S65" s="33" t="e">
        <f t="shared" si="32"/>
        <v>#REF!</v>
      </c>
      <c r="T65" s="33" t="e">
        <f t="shared" si="0"/>
        <v>#REF!</v>
      </c>
      <c r="U65" s="33" t="e">
        <f t="shared" si="1"/>
        <v>#REF!</v>
      </c>
      <c r="V65" s="33" t="e">
        <f t="shared" si="2"/>
        <v>#REF!</v>
      </c>
      <c r="W65" s="33" t="e">
        <f t="shared" si="3"/>
        <v>#REF!</v>
      </c>
      <c r="X65" s="33" t="e">
        <f t="shared" si="4"/>
        <v>#REF!</v>
      </c>
      <c r="Y65" s="130" t="s">
        <v>128</v>
      </c>
      <c r="Z65" s="35" t="s">
        <v>134</v>
      </c>
    </row>
    <row r="66" spans="1:26" x14ac:dyDescent="0.25">
      <c r="A66" s="85" t="s">
        <v>42</v>
      </c>
      <c r="B66" s="77" t="s">
        <v>199</v>
      </c>
      <c r="C66" s="29" t="e">
        <f>#REF!</f>
        <v>#REF!</v>
      </c>
      <c r="D66" s="29" t="e">
        <f>#REF!</f>
        <v>#REF!</v>
      </c>
      <c r="E66" s="29" t="e">
        <f>#REF!</f>
        <v>#REF!</v>
      </c>
      <c r="F66" s="29" t="e">
        <f>#REF!</f>
        <v>#REF!</v>
      </c>
      <c r="G66" s="29" t="e">
        <f>#REF!</f>
        <v>#REF!</v>
      </c>
      <c r="H66" s="29" t="e">
        <f>#REF!</f>
        <v>#REF!</v>
      </c>
      <c r="I66" s="29" t="e">
        <f>#REF!</f>
        <v>#REF!</v>
      </c>
      <c r="J66" s="29" t="e">
        <f>#REF!</f>
        <v>#REF!</v>
      </c>
      <c r="K66" s="29" t="e">
        <f>#REF!</f>
        <v>#REF!</v>
      </c>
      <c r="L66" s="29" t="e">
        <f>#REF!</f>
        <v>#REF!</v>
      </c>
      <c r="M66" s="135">
        <v>2500</v>
      </c>
      <c r="N66" s="135">
        <v>1</v>
      </c>
      <c r="O66" s="33" t="e">
        <f t="shared" si="28"/>
        <v>#REF!</v>
      </c>
      <c r="P66" s="33" t="e">
        <f t="shared" si="29"/>
        <v>#REF!</v>
      </c>
      <c r="Q66" s="33" t="e">
        <f t="shared" si="30"/>
        <v>#REF!</v>
      </c>
      <c r="R66" s="33" t="e">
        <f t="shared" si="31"/>
        <v>#REF!</v>
      </c>
      <c r="S66" s="33" t="e">
        <f t="shared" si="32"/>
        <v>#REF!</v>
      </c>
      <c r="T66" s="33" t="e">
        <f t="shared" si="0"/>
        <v>#REF!</v>
      </c>
      <c r="U66" s="33" t="e">
        <f t="shared" si="1"/>
        <v>#REF!</v>
      </c>
      <c r="V66" s="33" t="e">
        <f t="shared" si="2"/>
        <v>#REF!</v>
      </c>
      <c r="W66" s="33" t="e">
        <f t="shared" si="3"/>
        <v>#REF!</v>
      </c>
      <c r="X66" s="33" t="e">
        <f t="shared" si="4"/>
        <v>#REF!</v>
      </c>
      <c r="Y66" s="131" t="s">
        <v>198</v>
      </c>
      <c r="Z66" s="35"/>
    </row>
    <row r="67" spans="1:26" s="4" customFormat="1" x14ac:dyDescent="0.25">
      <c r="A67" s="165"/>
      <c r="B67" s="87"/>
      <c r="C67" s="29" t="e">
        <f>C66</f>
        <v>#REF!</v>
      </c>
      <c r="D67" s="29" t="e">
        <f t="shared" ref="D67:L67" si="33">D66</f>
        <v>#REF!</v>
      </c>
      <c r="E67" s="29" t="e">
        <f t="shared" si="33"/>
        <v>#REF!</v>
      </c>
      <c r="F67" s="29" t="e">
        <f t="shared" si="33"/>
        <v>#REF!</v>
      </c>
      <c r="G67" s="29" t="e">
        <f t="shared" si="33"/>
        <v>#REF!</v>
      </c>
      <c r="H67" s="29" t="e">
        <f t="shared" si="33"/>
        <v>#REF!</v>
      </c>
      <c r="I67" s="29" t="e">
        <f t="shared" si="33"/>
        <v>#REF!</v>
      </c>
      <c r="J67" s="29" t="e">
        <f t="shared" si="33"/>
        <v>#REF!</v>
      </c>
      <c r="K67" s="29" t="e">
        <f t="shared" si="33"/>
        <v>#REF!</v>
      </c>
      <c r="L67" s="29" t="e">
        <f t="shared" si="33"/>
        <v>#REF!</v>
      </c>
      <c r="M67" s="157"/>
      <c r="N67" s="157"/>
      <c r="O67" s="158"/>
      <c r="P67" s="158"/>
      <c r="Q67" s="158"/>
      <c r="R67" s="158"/>
      <c r="S67" s="158"/>
      <c r="T67" s="158"/>
      <c r="U67" s="158"/>
      <c r="V67" s="158"/>
      <c r="W67" s="158"/>
      <c r="X67" s="158"/>
      <c r="Y67" s="159"/>
      <c r="Z67" s="160"/>
    </row>
    <row r="68" spans="1:26" x14ac:dyDescent="0.25">
      <c r="A68" s="30" t="s">
        <v>43</v>
      </c>
      <c r="B68" s="80" t="s">
        <v>228</v>
      </c>
      <c r="C68" s="29" t="e">
        <f>#REF!</f>
        <v>#REF!</v>
      </c>
      <c r="D68" s="29" t="e">
        <f>#REF!</f>
        <v>#REF!</v>
      </c>
      <c r="E68" s="29" t="e">
        <f>#REF!</f>
        <v>#REF!</v>
      </c>
      <c r="F68" s="29" t="e">
        <f>#REF!</f>
        <v>#REF!</v>
      </c>
      <c r="G68" s="29" t="e">
        <f>#REF!</f>
        <v>#REF!</v>
      </c>
      <c r="H68" s="29" t="e">
        <f>#REF!</f>
        <v>#REF!</v>
      </c>
      <c r="I68" s="29" t="e">
        <f>#REF!</f>
        <v>#REF!</v>
      </c>
      <c r="J68" s="29" t="e">
        <f>#REF!</f>
        <v>#REF!</v>
      </c>
      <c r="K68" s="29" t="e">
        <f>#REF!</f>
        <v>#REF!</v>
      </c>
      <c r="L68" s="29" t="e">
        <f>#REF!</f>
        <v>#REF!</v>
      </c>
      <c r="M68" s="135">
        <v>2500</v>
      </c>
      <c r="N68" s="135">
        <v>1</v>
      </c>
      <c r="O68" s="33" t="e">
        <f>D68*M68</f>
        <v>#REF!</v>
      </c>
      <c r="P68" s="33" t="e">
        <f>F68*M68</f>
        <v>#REF!</v>
      </c>
      <c r="Q68" s="33" t="e">
        <f>H68*M68</f>
        <v>#REF!</v>
      </c>
      <c r="R68" s="33" t="e">
        <f>J68*M68</f>
        <v>#REF!</v>
      </c>
      <c r="S68" s="33" t="e">
        <f>L68*M68</f>
        <v>#REF!</v>
      </c>
      <c r="T68" s="33" t="e">
        <f t="shared" si="0"/>
        <v>#REF!</v>
      </c>
      <c r="U68" s="33" t="e">
        <f t="shared" si="1"/>
        <v>#REF!</v>
      </c>
      <c r="V68" s="33" t="e">
        <f t="shared" si="2"/>
        <v>#REF!</v>
      </c>
      <c r="W68" s="33" t="e">
        <f t="shared" si="3"/>
        <v>#REF!</v>
      </c>
      <c r="X68" s="33" t="e">
        <f t="shared" si="4"/>
        <v>#REF!</v>
      </c>
      <c r="Y68" s="131"/>
      <c r="Z68" s="35"/>
    </row>
    <row r="69" spans="1:26" x14ac:dyDescent="0.25">
      <c r="A69" s="31" t="s">
        <v>43</v>
      </c>
      <c r="B69" s="88" t="s">
        <v>203</v>
      </c>
      <c r="C69" s="29" t="e">
        <f>#REF!</f>
        <v>#REF!</v>
      </c>
      <c r="D69" s="29" t="e">
        <f>#REF!</f>
        <v>#REF!</v>
      </c>
      <c r="E69" s="29" t="e">
        <f>#REF!</f>
        <v>#REF!</v>
      </c>
      <c r="F69" s="29" t="e">
        <f>#REF!</f>
        <v>#REF!</v>
      </c>
      <c r="G69" s="29" t="e">
        <f>#REF!</f>
        <v>#REF!</v>
      </c>
      <c r="H69" s="29" t="e">
        <f>#REF!</f>
        <v>#REF!</v>
      </c>
      <c r="I69" s="29" t="e">
        <f>#REF!</f>
        <v>#REF!</v>
      </c>
      <c r="J69" s="29" t="e">
        <f>#REF!</f>
        <v>#REF!</v>
      </c>
      <c r="K69" s="29" t="e">
        <f>#REF!</f>
        <v>#REF!</v>
      </c>
      <c r="L69" s="29" t="e">
        <f>#REF!</f>
        <v>#REF!</v>
      </c>
      <c r="M69" s="135">
        <v>2500</v>
      </c>
      <c r="N69" s="135">
        <v>1</v>
      </c>
      <c r="O69" s="33" t="e">
        <f>D69*M69</f>
        <v>#REF!</v>
      </c>
      <c r="P69" s="33" t="e">
        <f>F69*M69</f>
        <v>#REF!</v>
      </c>
      <c r="Q69" s="33" t="e">
        <f>H69*M69</f>
        <v>#REF!</v>
      </c>
      <c r="R69" s="33" t="e">
        <f>J69*M69</f>
        <v>#REF!</v>
      </c>
      <c r="S69" s="33" t="e">
        <f>L69*M69</f>
        <v>#REF!</v>
      </c>
      <c r="T69" s="33" t="e">
        <f t="shared" si="0"/>
        <v>#REF!</v>
      </c>
      <c r="U69" s="33" t="e">
        <f t="shared" si="1"/>
        <v>#REF!</v>
      </c>
      <c r="V69" s="33" t="e">
        <f t="shared" si="2"/>
        <v>#REF!</v>
      </c>
      <c r="W69" s="33" t="e">
        <f t="shared" si="3"/>
        <v>#REF!</v>
      </c>
      <c r="X69" s="33" t="e">
        <f t="shared" si="4"/>
        <v>#REF!</v>
      </c>
      <c r="Y69" s="130" t="s">
        <v>128</v>
      </c>
      <c r="Z69" s="35" t="s">
        <v>129</v>
      </c>
    </row>
    <row r="70" spans="1:26" x14ac:dyDescent="0.25">
      <c r="A70" s="85" t="s">
        <v>43</v>
      </c>
      <c r="B70" s="77" t="s">
        <v>199</v>
      </c>
      <c r="C70" s="169" t="e">
        <f>#REF!</f>
        <v>#REF!</v>
      </c>
      <c r="D70" s="169" t="e">
        <f>#REF!</f>
        <v>#REF!</v>
      </c>
      <c r="E70" s="169" t="e">
        <f>#REF!</f>
        <v>#REF!</v>
      </c>
      <c r="F70" s="169" t="e">
        <f>#REF!</f>
        <v>#REF!</v>
      </c>
      <c r="G70" s="169" t="e">
        <f>#REF!</f>
        <v>#REF!</v>
      </c>
      <c r="H70" s="169" t="e">
        <f>#REF!</f>
        <v>#REF!</v>
      </c>
      <c r="I70" s="169" t="e">
        <f>#REF!</f>
        <v>#REF!</v>
      </c>
      <c r="J70" s="169" t="e">
        <f>#REF!</f>
        <v>#REF!</v>
      </c>
      <c r="K70" s="169" t="e">
        <f>#REF!</f>
        <v>#REF!</v>
      </c>
      <c r="L70" s="169" t="e">
        <f>#REF!</f>
        <v>#REF!</v>
      </c>
      <c r="M70" s="135">
        <v>2500</v>
      </c>
      <c r="N70" s="135">
        <v>1</v>
      </c>
      <c r="O70" s="33" t="e">
        <f>D70*M70</f>
        <v>#REF!</v>
      </c>
      <c r="P70" s="33" t="e">
        <f>F70*M70</f>
        <v>#REF!</v>
      </c>
      <c r="Q70" s="33" t="e">
        <f>H70*M70</f>
        <v>#REF!</v>
      </c>
      <c r="R70" s="33" t="e">
        <f>J70*M70</f>
        <v>#REF!</v>
      </c>
      <c r="S70" s="33" t="e">
        <f>L70*M70</f>
        <v>#REF!</v>
      </c>
      <c r="T70" s="33" t="e">
        <f t="shared" si="0"/>
        <v>#REF!</v>
      </c>
      <c r="U70" s="33" t="e">
        <f t="shared" si="1"/>
        <v>#REF!</v>
      </c>
      <c r="V70" s="33" t="e">
        <f t="shared" si="2"/>
        <v>#REF!</v>
      </c>
      <c r="W70" s="33" t="e">
        <f t="shared" si="3"/>
        <v>#REF!</v>
      </c>
      <c r="X70" s="33" t="e">
        <f t="shared" si="4"/>
        <v>#REF!</v>
      </c>
      <c r="Y70" s="131" t="s">
        <v>198</v>
      </c>
      <c r="Z70" s="35"/>
    </row>
    <row r="71" spans="1:26" x14ac:dyDescent="0.25">
      <c r="A71" s="127" t="s">
        <v>43</v>
      </c>
      <c r="B71" s="126"/>
      <c r="C71" s="29" t="e">
        <f>#REF!</f>
        <v>#REF!</v>
      </c>
      <c r="D71" s="29" t="e">
        <f>#REF!</f>
        <v>#REF!</v>
      </c>
      <c r="E71" s="29" t="e">
        <f>#REF!</f>
        <v>#REF!</v>
      </c>
      <c r="F71" s="29" t="e">
        <f>#REF!</f>
        <v>#REF!</v>
      </c>
      <c r="G71" s="29" t="e">
        <f>#REF!</f>
        <v>#REF!</v>
      </c>
      <c r="H71" s="29" t="e">
        <f>#REF!</f>
        <v>#REF!</v>
      </c>
      <c r="I71" s="29" t="e">
        <f>#REF!</f>
        <v>#REF!</v>
      </c>
      <c r="J71" s="29" t="e">
        <f>#REF!</f>
        <v>#REF!</v>
      </c>
      <c r="K71" s="29" t="e">
        <f>#REF!</f>
        <v>#REF!</v>
      </c>
      <c r="L71" s="29" t="e">
        <f>#REF!</f>
        <v>#REF!</v>
      </c>
      <c r="M71" s="135">
        <v>2500</v>
      </c>
      <c r="N71" s="135">
        <v>1</v>
      </c>
      <c r="O71" s="33" t="e">
        <f>D71*M71</f>
        <v>#REF!</v>
      </c>
      <c r="P71" s="33" t="e">
        <f>F71*M71</f>
        <v>#REF!</v>
      </c>
      <c r="Q71" s="33" t="e">
        <f>H71*M71</f>
        <v>#REF!</v>
      </c>
      <c r="R71" s="33" t="e">
        <f>J71*M71</f>
        <v>#REF!</v>
      </c>
      <c r="S71" s="33" t="e">
        <f>L71*M71</f>
        <v>#REF!</v>
      </c>
      <c r="T71" s="33" t="e">
        <f t="shared" si="0"/>
        <v>#REF!</v>
      </c>
      <c r="U71" s="33" t="e">
        <f t="shared" si="1"/>
        <v>#REF!</v>
      </c>
      <c r="V71" s="33" t="e">
        <f t="shared" si="2"/>
        <v>#REF!</v>
      </c>
      <c r="W71" s="33" t="e">
        <f t="shared" si="3"/>
        <v>#REF!</v>
      </c>
      <c r="X71" s="33" t="e">
        <f t="shared" si="4"/>
        <v>#REF!</v>
      </c>
      <c r="Y71" s="133" t="s">
        <v>85</v>
      </c>
      <c r="Z71" s="35"/>
    </row>
    <row r="72" spans="1:26" s="4" customFormat="1" x14ac:dyDescent="0.25">
      <c r="A72" s="170"/>
      <c r="B72" s="87"/>
      <c r="C72" s="29" t="e">
        <f>C70</f>
        <v>#REF!</v>
      </c>
      <c r="D72" s="29" t="e">
        <f t="shared" ref="D72:L72" si="34">D70</f>
        <v>#REF!</v>
      </c>
      <c r="E72" s="29" t="e">
        <f t="shared" si="34"/>
        <v>#REF!</v>
      </c>
      <c r="F72" s="29" t="e">
        <f t="shared" si="34"/>
        <v>#REF!</v>
      </c>
      <c r="G72" s="29" t="e">
        <f t="shared" si="34"/>
        <v>#REF!</v>
      </c>
      <c r="H72" s="29" t="e">
        <f t="shared" si="34"/>
        <v>#REF!</v>
      </c>
      <c r="I72" s="29" t="e">
        <f t="shared" si="34"/>
        <v>#REF!</v>
      </c>
      <c r="J72" s="29" t="e">
        <f t="shared" si="34"/>
        <v>#REF!</v>
      </c>
      <c r="K72" s="29" t="e">
        <f t="shared" si="34"/>
        <v>#REF!</v>
      </c>
      <c r="L72" s="29" t="e">
        <f t="shared" si="34"/>
        <v>#REF!</v>
      </c>
      <c r="M72" s="157"/>
      <c r="N72" s="157"/>
      <c r="O72" s="158"/>
      <c r="P72" s="158"/>
      <c r="Q72" s="158"/>
      <c r="R72" s="158"/>
      <c r="S72" s="158"/>
      <c r="T72" s="158"/>
      <c r="U72" s="158"/>
      <c r="V72" s="158"/>
      <c r="W72" s="158"/>
      <c r="X72" s="158"/>
      <c r="Y72" s="167"/>
      <c r="Z72" s="160"/>
    </row>
    <row r="73" spans="1:26" x14ac:dyDescent="0.25">
      <c r="A73" s="171" t="s">
        <v>44</v>
      </c>
      <c r="B73" s="80" t="s">
        <v>94</v>
      </c>
      <c r="C73" s="29" t="e">
        <f>#REF!</f>
        <v>#REF!</v>
      </c>
      <c r="D73" s="29" t="e">
        <f>#REF!</f>
        <v>#REF!</v>
      </c>
      <c r="E73" s="29" t="e">
        <f>#REF!</f>
        <v>#REF!</v>
      </c>
      <c r="F73" s="29" t="e">
        <f>#REF!</f>
        <v>#REF!</v>
      </c>
      <c r="G73" s="29" t="e">
        <f>#REF!</f>
        <v>#REF!</v>
      </c>
      <c r="H73" s="29" t="e">
        <f>#REF!</f>
        <v>#REF!</v>
      </c>
      <c r="I73" s="29" t="e">
        <f>#REF!</f>
        <v>#REF!</v>
      </c>
      <c r="J73" s="29" t="e">
        <f>#REF!</f>
        <v>#REF!</v>
      </c>
      <c r="K73" s="29" t="e">
        <f>#REF!</f>
        <v>#REF!</v>
      </c>
      <c r="L73" s="29" t="e">
        <f>#REF!</f>
        <v>#REF!</v>
      </c>
      <c r="M73" s="135">
        <v>2500</v>
      </c>
      <c r="N73" s="135">
        <v>1</v>
      </c>
      <c r="O73" s="33" t="e">
        <f>D73*M73</f>
        <v>#REF!</v>
      </c>
      <c r="P73" s="33" t="e">
        <f>F73*M73</f>
        <v>#REF!</v>
      </c>
      <c r="Q73" s="33" t="e">
        <f>H73*M73</f>
        <v>#REF!</v>
      </c>
      <c r="R73" s="33" t="e">
        <f>J73*M73</f>
        <v>#REF!</v>
      </c>
      <c r="S73" s="33" t="e">
        <f>L73*M73</f>
        <v>#REF!</v>
      </c>
      <c r="T73" s="33" t="e">
        <f t="shared" si="0"/>
        <v>#REF!</v>
      </c>
      <c r="U73" s="33" t="e">
        <f t="shared" si="1"/>
        <v>#REF!</v>
      </c>
      <c r="V73" s="33" t="e">
        <f t="shared" si="2"/>
        <v>#REF!</v>
      </c>
      <c r="W73" s="33" t="e">
        <f t="shared" si="3"/>
        <v>#REF!</v>
      </c>
      <c r="X73" s="33" t="e">
        <f t="shared" si="4"/>
        <v>#REF!</v>
      </c>
      <c r="Y73" s="24" t="s">
        <v>81</v>
      </c>
      <c r="Z73" s="35" t="s">
        <v>119</v>
      </c>
    </row>
    <row r="74" spans="1:26" x14ac:dyDescent="0.25">
      <c r="A74" s="31" t="s">
        <v>44</v>
      </c>
      <c r="B74" s="88" t="s">
        <v>203</v>
      </c>
      <c r="C74" s="29" t="e">
        <f>#REF!</f>
        <v>#REF!</v>
      </c>
      <c r="D74" s="29" t="e">
        <f>#REF!</f>
        <v>#REF!</v>
      </c>
      <c r="E74" s="29" t="e">
        <f>#REF!</f>
        <v>#REF!</v>
      </c>
      <c r="F74" s="29" t="e">
        <f>#REF!</f>
        <v>#REF!</v>
      </c>
      <c r="G74" s="29" t="e">
        <f>#REF!</f>
        <v>#REF!</v>
      </c>
      <c r="H74" s="29" t="e">
        <f>#REF!</f>
        <v>#REF!</v>
      </c>
      <c r="I74" s="29" t="e">
        <f>#REF!</f>
        <v>#REF!</v>
      </c>
      <c r="J74" s="29" t="e">
        <f>#REF!</f>
        <v>#REF!</v>
      </c>
      <c r="K74" s="29" t="e">
        <f>#REF!</f>
        <v>#REF!</v>
      </c>
      <c r="L74" s="29" t="e">
        <f>#REF!</f>
        <v>#REF!</v>
      </c>
      <c r="M74" s="135">
        <v>2500</v>
      </c>
      <c r="N74" s="135">
        <v>1</v>
      </c>
      <c r="O74" s="33" t="e">
        <f>D74*M74</f>
        <v>#REF!</v>
      </c>
      <c r="P74" s="33" t="e">
        <f>F74*M74</f>
        <v>#REF!</v>
      </c>
      <c r="Q74" s="33" t="e">
        <f>H74*M74</f>
        <v>#REF!</v>
      </c>
      <c r="R74" s="33" t="e">
        <f>J74*M74</f>
        <v>#REF!</v>
      </c>
      <c r="S74" s="33" t="e">
        <f>L74*M74</f>
        <v>#REF!</v>
      </c>
      <c r="T74" s="33" t="e">
        <f t="shared" si="0"/>
        <v>#REF!</v>
      </c>
      <c r="U74" s="33" t="e">
        <f t="shared" si="1"/>
        <v>#REF!</v>
      </c>
      <c r="V74" s="33" t="e">
        <f t="shared" si="2"/>
        <v>#REF!</v>
      </c>
      <c r="W74" s="33" t="e">
        <f t="shared" si="3"/>
        <v>#REF!</v>
      </c>
      <c r="X74" s="33" t="e">
        <f t="shared" si="4"/>
        <v>#REF!</v>
      </c>
      <c r="Y74" s="130" t="s">
        <v>128</v>
      </c>
      <c r="Z74" s="35" t="s">
        <v>129</v>
      </c>
    </row>
    <row r="75" spans="1:26" x14ac:dyDescent="0.25">
      <c r="A75" s="85" t="s">
        <v>44</v>
      </c>
      <c r="B75" s="77" t="s">
        <v>199</v>
      </c>
      <c r="C75" s="29" t="e">
        <f>#REF!</f>
        <v>#REF!</v>
      </c>
      <c r="D75" s="29" t="e">
        <f>#REF!</f>
        <v>#REF!</v>
      </c>
      <c r="E75" s="29" t="e">
        <f>#REF!</f>
        <v>#REF!</v>
      </c>
      <c r="F75" s="29" t="e">
        <f>#REF!</f>
        <v>#REF!</v>
      </c>
      <c r="G75" s="29" t="e">
        <f>#REF!</f>
        <v>#REF!</v>
      </c>
      <c r="H75" s="29" t="e">
        <f>#REF!</f>
        <v>#REF!</v>
      </c>
      <c r="I75" s="29" t="e">
        <f>#REF!</f>
        <v>#REF!</v>
      </c>
      <c r="J75" s="29" t="e">
        <f>#REF!</f>
        <v>#REF!</v>
      </c>
      <c r="K75" s="29" t="e">
        <f>#REF!</f>
        <v>#REF!</v>
      </c>
      <c r="L75" s="29" t="e">
        <f>#REF!</f>
        <v>#REF!</v>
      </c>
      <c r="M75" s="135">
        <v>2500</v>
      </c>
      <c r="N75" s="135">
        <v>1</v>
      </c>
      <c r="O75" s="33" t="e">
        <f>D75*M75</f>
        <v>#REF!</v>
      </c>
      <c r="P75" s="33" t="e">
        <f>F75*M75</f>
        <v>#REF!</v>
      </c>
      <c r="Q75" s="33" t="e">
        <f>H75*M75</f>
        <v>#REF!</v>
      </c>
      <c r="R75" s="33" t="e">
        <f>J75*M75</f>
        <v>#REF!</v>
      </c>
      <c r="S75" s="33" t="e">
        <f>L75*M75</f>
        <v>#REF!</v>
      </c>
      <c r="T75" s="33" t="e">
        <f t="shared" si="0"/>
        <v>#REF!</v>
      </c>
      <c r="U75" s="33" t="e">
        <f t="shared" si="1"/>
        <v>#REF!</v>
      </c>
      <c r="V75" s="33" t="e">
        <f t="shared" si="2"/>
        <v>#REF!</v>
      </c>
      <c r="W75" s="33" t="e">
        <f t="shared" si="3"/>
        <v>#REF!</v>
      </c>
      <c r="X75" s="33" t="e">
        <f t="shared" si="4"/>
        <v>#REF!</v>
      </c>
      <c r="Y75" s="131" t="s">
        <v>198</v>
      </c>
      <c r="Z75" s="35"/>
    </row>
    <row r="76" spans="1:26" x14ac:dyDescent="0.25">
      <c r="A76" s="127" t="s">
        <v>44</v>
      </c>
      <c r="B76" s="126"/>
      <c r="C76" s="29" t="e">
        <f>#REF!</f>
        <v>#REF!</v>
      </c>
      <c r="D76" s="29" t="e">
        <f>#REF!</f>
        <v>#REF!</v>
      </c>
      <c r="E76" s="29" t="e">
        <f>#REF!</f>
        <v>#REF!</v>
      </c>
      <c r="F76" s="29" t="e">
        <f>#REF!</f>
        <v>#REF!</v>
      </c>
      <c r="G76" s="29" t="e">
        <f>#REF!</f>
        <v>#REF!</v>
      </c>
      <c r="H76" s="29" t="e">
        <f>#REF!</f>
        <v>#REF!</v>
      </c>
      <c r="I76" s="29" t="e">
        <f>#REF!</f>
        <v>#REF!</v>
      </c>
      <c r="J76" s="29" t="e">
        <f>#REF!</f>
        <v>#REF!</v>
      </c>
      <c r="K76" s="29" t="e">
        <f>#REF!</f>
        <v>#REF!</v>
      </c>
      <c r="L76" s="29" t="e">
        <f>#REF!</f>
        <v>#REF!</v>
      </c>
      <c r="M76" s="135">
        <v>2500</v>
      </c>
      <c r="N76" s="135">
        <v>1</v>
      </c>
      <c r="O76" s="33" t="e">
        <f>D76*M76</f>
        <v>#REF!</v>
      </c>
      <c r="P76" s="33" t="e">
        <f>F76*M76</f>
        <v>#REF!</v>
      </c>
      <c r="Q76" s="33" t="e">
        <f>H76*M76</f>
        <v>#REF!</v>
      </c>
      <c r="R76" s="33" t="e">
        <f>J76*M76</f>
        <v>#REF!</v>
      </c>
      <c r="S76" s="33" t="e">
        <f>L76*M76</f>
        <v>#REF!</v>
      </c>
      <c r="T76" s="33" t="e">
        <f t="shared" si="0"/>
        <v>#REF!</v>
      </c>
      <c r="U76" s="33" t="e">
        <f t="shared" si="1"/>
        <v>#REF!</v>
      </c>
      <c r="V76" s="33" t="e">
        <f t="shared" si="2"/>
        <v>#REF!</v>
      </c>
      <c r="W76" s="33" t="e">
        <f t="shared" si="3"/>
        <v>#REF!</v>
      </c>
      <c r="X76" s="33" t="e">
        <f t="shared" si="4"/>
        <v>#REF!</v>
      </c>
      <c r="Y76" s="133" t="s">
        <v>85</v>
      </c>
      <c r="Z76" s="35"/>
    </row>
    <row r="77" spans="1:26" s="4" customFormat="1" x14ac:dyDescent="0.25">
      <c r="A77" s="170"/>
      <c r="B77" s="87"/>
      <c r="C77" s="29" t="e">
        <f>C73</f>
        <v>#REF!</v>
      </c>
      <c r="D77" s="29" t="e">
        <f>D73</f>
        <v>#REF!</v>
      </c>
      <c r="E77" s="29" t="e">
        <f t="shared" ref="E77:L77" si="35">E73</f>
        <v>#REF!</v>
      </c>
      <c r="F77" s="29" t="e">
        <f t="shared" si="35"/>
        <v>#REF!</v>
      </c>
      <c r="G77" s="29" t="e">
        <f t="shared" si="35"/>
        <v>#REF!</v>
      </c>
      <c r="H77" s="29" t="e">
        <f t="shared" si="35"/>
        <v>#REF!</v>
      </c>
      <c r="I77" s="29" t="e">
        <f t="shared" si="35"/>
        <v>#REF!</v>
      </c>
      <c r="J77" s="29" t="e">
        <f t="shared" si="35"/>
        <v>#REF!</v>
      </c>
      <c r="K77" s="29" t="e">
        <f t="shared" si="35"/>
        <v>#REF!</v>
      </c>
      <c r="L77" s="29" t="e">
        <f t="shared" si="35"/>
        <v>#REF!</v>
      </c>
      <c r="M77" s="157"/>
      <c r="N77" s="157"/>
      <c r="O77" s="158"/>
      <c r="P77" s="158"/>
      <c r="Q77" s="158"/>
      <c r="R77" s="158"/>
      <c r="S77" s="158"/>
      <c r="T77" s="158"/>
      <c r="U77" s="158"/>
      <c r="V77" s="158"/>
      <c r="W77" s="158"/>
      <c r="X77" s="158"/>
      <c r="Y77" s="167"/>
      <c r="Z77" s="160"/>
    </row>
    <row r="78" spans="1:26" s="4" customFormat="1" x14ac:dyDescent="0.25">
      <c r="A78" s="170"/>
      <c r="B78" s="87"/>
      <c r="C78" s="29" t="e">
        <f>C75</f>
        <v>#REF!</v>
      </c>
      <c r="D78" s="29" t="e">
        <f t="shared" ref="D78:L78" si="36">D75</f>
        <v>#REF!</v>
      </c>
      <c r="E78" s="29" t="e">
        <f t="shared" si="36"/>
        <v>#REF!</v>
      </c>
      <c r="F78" s="29" t="e">
        <f t="shared" si="36"/>
        <v>#REF!</v>
      </c>
      <c r="G78" s="29" t="e">
        <f t="shared" si="36"/>
        <v>#REF!</v>
      </c>
      <c r="H78" s="29" t="e">
        <f t="shared" si="36"/>
        <v>#REF!</v>
      </c>
      <c r="I78" s="29" t="e">
        <f t="shared" si="36"/>
        <v>#REF!</v>
      </c>
      <c r="J78" s="29" t="e">
        <f t="shared" si="36"/>
        <v>#REF!</v>
      </c>
      <c r="K78" s="29" t="e">
        <f t="shared" si="36"/>
        <v>#REF!</v>
      </c>
      <c r="L78" s="29" t="e">
        <f t="shared" si="36"/>
        <v>#REF!</v>
      </c>
      <c r="M78" s="157"/>
      <c r="N78" s="157"/>
      <c r="O78" s="33"/>
      <c r="P78" s="33"/>
      <c r="Q78" s="33"/>
      <c r="R78" s="33"/>
      <c r="S78" s="33"/>
      <c r="T78" s="33"/>
      <c r="U78" s="33"/>
      <c r="V78" s="33"/>
      <c r="W78" s="33"/>
      <c r="X78" s="33"/>
      <c r="Y78" s="167"/>
      <c r="Z78" s="160"/>
    </row>
    <row r="79" spans="1:26" x14ac:dyDescent="0.25">
      <c r="A79" s="792" t="s">
        <v>136</v>
      </c>
      <c r="B79" s="80" t="s">
        <v>138</v>
      </c>
      <c r="C79" s="29" t="e">
        <f>#REF!</f>
        <v>#REF!</v>
      </c>
      <c r="D79" s="29" t="e">
        <f>#REF!</f>
        <v>#REF!</v>
      </c>
      <c r="E79" s="29" t="e">
        <f>#REF!</f>
        <v>#REF!</v>
      </c>
      <c r="F79" s="29" t="e">
        <f>#REF!</f>
        <v>#REF!</v>
      </c>
      <c r="G79" s="29" t="e">
        <f>#REF!</f>
        <v>#REF!</v>
      </c>
      <c r="H79" s="29" t="e">
        <f>#REF!</f>
        <v>#REF!</v>
      </c>
      <c r="I79" s="29" t="e">
        <f>#REF!</f>
        <v>#REF!</v>
      </c>
      <c r="J79" s="29" t="e">
        <f>#REF!</f>
        <v>#REF!</v>
      </c>
      <c r="K79" s="29" t="e">
        <f>#REF!</f>
        <v>#REF!</v>
      </c>
      <c r="L79" s="29" t="e">
        <f>#REF!</f>
        <v>#REF!</v>
      </c>
      <c r="M79" s="135">
        <v>2500</v>
      </c>
      <c r="N79" s="135">
        <v>1</v>
      </c>
      <c r="O79" s="33" t="e">
        <f t="shared" ref="O79:O85" si="37">D79*M79</f>
        <v>#REF!</v>
      </c>
      <c r="P79" s="33" t="e">
        <f t="shared" ref="P79:P85" si="38">F79*M79</f>
        <v>#REF!</v>
      </c>
      <c r="Q79" s="33" t="e">
        <f t="shared" ref="Q79:Q85" si="39">H79*M79</f>
        <v>#REF!</v>
      </c>
      <c r="R79" s="33" t="e">
        <f t="shared" ref="R79:R85" si="40">J79*M79</f>
        <v>#REF!</v>
      </c>
      <c r="S79" s="33" t="e">
        <f t="shared" ref="S79:S85" si="41">L79*M79</f>
        <v>#REF!</v>
      </c>
      <c r="T79" s="33" t="e">
        <f t="shared" si="0"/>
        <v>#REF!</v>
      </c>
      <c r="U79" s="33" t="e">
        <f t="shared" si="1"/>
        <v>#REF!</v>
      </c>
      <c r="V79" s="33" t="e">
        <f t="shared" si="2"/>
        <v>#REF!</v>
      </c>
      <c r="W79" s="33" t="e">
        <f t="shared" si="3"/>
        <v>#REF!</v>
      </c>
      <c r="X79" s="33" t="e">
        <f t="shared" si="4"/>
        <v>#REF!</v>
      </c>
      <c r="Y79" s="24" t="s">
        <v>81</v>
      </c>
      <c r="Z79" s="35" t="s">
        <v>123</v>
      </c>
    </row>
    <row r="80" spans="1:26" x14ac:dyDescent="0.25">
      <c r="A80" s="800"/>
      <c r="B80" s="80" t="s">
        <v>139</v>
      </c>
      <c r="C80" s="29" t="e">
        <f>#REF!</f>
        <v>#REF!</v>
      </c>
      <c r="D80" s="29" t="e">
        <f>#REF!</f>
        <v>#REF!</v>
      </c>
      <c r="E80" s="29" t="e">
        <f>#REF!</f>
        <v>#REF!</v>
      </c>
      <c r="F80" s="29" t="e">
        <f>#REF!</f>
        <v>#REF!</v>
      </c>
      <c r="G80" s="29" t="e">
        <f>#REF!</f>
        <v>#REF!</v>
      </c>
      <c r="H80" s="29" t="e">
        <f>#REF!</f>
        <v>#REF!</v>
      </c>
      <c r="I80" s="29" t="e">
        <f>#REF!</f>
        <v>#REF!</v>
      </c>
      <c r="J80" s="29" t="e">
        <f>#REF!</f>
        <v>#REF!</v>
      </c>
      <c r="K80" s="29" t="e">
        <f>#REF!</f>
        <v>#REF!</v>
      </c>
      <c r="L80" s="29" t="e">
        <f>#REF!</f>
        <v>#REF!</v>
      </c>
      <c r="M80" s="135">
        <v>2500</v>
      </c>
      <c r="N80" s="135">
        <v>1</v>
      </c>
      <c r="O80" s="33" t="e">
        <f t="shared" si="37"/>
        <v>#REF!</v>
      </c>
      <c r="P80" s="33" t="e">
        <f t="shared" si="38"/>
        <v>#REF!</v>
      </c>
      <c r="Q80" s="33" t="e">
        <f t="shared" si="39"/>
        <v>#REF!</v>
      </c>
      <c r="R80" s="33" t="e">
        <f t="shared" si="40"/>
        <v>#REF!</v>
      </c>
      <c r="S80" s="33" t="e">
        <f t="shared" si="41"/>
        <v>#REF!</v>
      </c>
      <c r="T80" s="33" t="e">
        <f t="shared" ref="T80:T152" si="42">O80/N80</f>
        <v>#REF!</v>
      </c>
      <c r="U80" s="33" t="e">
        <f t="shared" ref="U80:U152" si="43">P80/N80</f>
        <v>#REF!</v>
      </c>
      <c r="V80" s="33" t="e">
        <f t="shared" ref="V80:V152" si="44">Q80/N80</f>
        <v>#REF!</v>
      </c>
      <c r="W80" s="33" t="e">
        <f t="shared" ref="W80:W152" si="45">R80/N80</f>
        <v>#REF!</v>
      </c>
      <c r="X80" s="33" t="e">
        <f t="shared" ref="X80:X152" si="46">S80/N80</f>
        <v>#REF!</v>
      </c>
      <c r="Y80" s="24" t="s">
        <v>81</v>
      </c>
      <c r="Z80" s="35" t="s">
        <v>124</v>
      </c>
    </row>
    <row r="81" spans="1:26" s="4" customFormat="1" x14ac:dyDescent="0.25">
      <c r="A81" s="32" t="s">
        <v>45</v>
      </c>
      <c r="B81" s="88" t="s">
        <v>203</v>
      </c>
      <c r="C81" s="29" t="e">
        <f>#REF!</f>
        <v>#REF!</v>
      </c>
      <c r="D81" s="29" t="e">
        <f>#REF!</f>
        <v>#REF!</v>
      </c>
      <c r="E81" s="29" t="e">
        <f>#REF!</f>
        <v>#REF!</v>
      </c>
      <c r="F81" s="29" t="e">
        <f>#REF!</f>
        <v>#REF!</v>
      </c>
      <c r="G81" s="29" t="e">
        <f>#REF!</f>
        <v>#REF!</v>
      </c>
      <c r="H81" s="29" t="e">
        <f>#REF!</f>
        <v>#REF!</v>
      </c>
      <c r="I81" s="29" t="e">
        <f>#REF!</f>
        <v>#REF!</v>
      </c>
      <c r="J81" s="29" t="e">
        <f>#REF!</f>
        <v>#REF!</v>
      </c>
      <c r="K81" s="29" t="e">
        <f>#REF!</f>
        <v>#REF!</v>
      </c>
      <c r="L81" s="29" t="e">
        <f>#REF!</f>
        <v>#REF!</v>
      </c>
      <c r="M81" s="135">
        <v>2500</v>
      </c>
      <c r="N81" s="135">
        <v>1</v>
      </c>
      <c r="O81" s="33" t="e">
        <f t="shared" si="37"/>
        <v>#REF!</v>
      </c>
      <c r="P81" s="33" t="e">
        <f t="shared" si="38"/>
        <v>#REF!</v>
      </c>
      <c r="Q81" s="33" t="e">
        <f t="shared" si="39"/>
        <v>#REF!</v>
      </c>
      <c r="R81" s="33" t="e">
        <f t="shared" si="40"/>
        <v>#REF!</v>
      </c>
      <c r="S81" s="33" t="e">
        <f t="shared" si="41"/>
        <v>#REF!</v>
      </c>
      <c r="T81" s="33" t="e">
        <f t="shared" si="42"/>
        <v>#REF!</v>
      </c>
      <c r="U81" s="33" t="e">
        <f t="shared" si="43"/>
        <v>#REF!</v>
      </c>
      <c r="V81" s="33" t="e">
        <f t="shared" si="44"/>
        <v>#REF!</v>
      </c>
      <c r="W81" s="33" t="e">
        <f t="shared" si="45"/>
        <v>#REF!</v>
      </c>
      <c r="X81" s="33" t="e">
        <f t="shared" si="46"/>
        <v>#REF!</v>
      </c>
      <c r="Y81" s="130" t="s">
        <v>128</v>
      </c>
      <c r="Z81" s="35"/>
    </row>
    <row r="82" spans="1:26" x14ac:dyDescent="0.25">
      <c r="A82" s="30" t="s">
        <v>290</v>
      </c>
      <c r="B82" s="80" t="s">
        <v>140</v>
      </c>
      <c r="C82" s="29" t="e">
        <f>#REF!</f>
        <v>#REF!</v>
      </c>
      <c r="D82" s="29" t="e">
        <f>#REF!</f>
        <v>#REF!</v>
      </c>
      <c r="E82" s="29" t="e">
        <f>#REF!</f>
        <v>#REF!</v>
      </c>
      <c r="F82" s="29" t="e">
        <f>#REF!</f>
        <v>#REF!</v>
      </c>
      <c r="G82" s="29" t="e">
        <f>#REF!</f>
        <v>#REF!</v>
      </c>
      <c r="H82" s="29" t="e">
        <f>#REF!</f>
        <v>#REF!</v>
      </c>
      <c r="I82" s="29" t="e">
        <f>#REF!</f>
        <v>#REF!</v>
      </c>
      <c r="J82" s="29" t="e">
        <f>#REF!</f>
        <v>#REF!</v>
      </c>
      <c r="K82" s="29" t="e">
        <f>#REF!</f>
        <v>#REF!</v>
      </c>
      <c r="L82" s="29" t="e">
        <f>#REF!</f>
        <v>#REF!</v>
      </c>
      <c r="M82" s="135">
        <v>2500</v>
      </c>
      <c r="N82" s="135">
        <v>1</v>
      </c>
      <c r="O82" s="33" t="e">
        <f t="shared" si="37"/>
        <v>#REF!</v>
      </c>
      <c r="P82" s="33" t="e">
        <f t="shared" si="38"/>
        <v>#REF!</v>
      </c>
      <c r="Q82" s="33" t="e">
        <f t="shared" si="39"/>
        <v>#REF!</v>
      </c>
      <c r="R82" s="33" t="e">
        <f t="shared" si="40"/>
        <v>#REF!</v>
      </c>
      <c r="S82" s="33" t="e">
        <f t="shared" si="41"/>
        <v>#REF!</v>
      </c>
      <c r="T82" s="33" t="e">
        <f t="shared" si="42"/>
        <v>#REF!</v>
      </c>
      <c r="U82" s="33" t="e">
        <f t="shared" si="43"/>
        <v>#REF!</v>
      </c>
      <c r="V82" s="33" t="e">
        <f t="shared" si="44"/>
        <v>#REF!</v>
      </c>
      <c r="W82" s="33" t="e">
        <f t="shared" si="45"/>
        <v>#REF!</v>
      </c>
      <c r="X82" s="33" t="e">
        <f t="shared" si="46"/>
        <v>#REF!</v>
      </c>
      <c r="Y82" s="24" t="s">
        <v>81</v>
      </c>
      <c r="Z82" s="35" t="s">
        <v>125</v>
      </c>
    </row>
    <row r="83" spans="1:26" s="4" customFormat="1" x14ac:dyDescent="0.25">
      <c r="A83" s="31" t="s">
        <v>135</v>
      </c>
      <c r="B83" s="81"/>
      <c r="C83" s="29" t="e">
        <f>#REF!</f>
        <v>#REF!</v>
      </c>
      <c r="D83" s="29" t="e">
        <f>#REF!</f>
        <v>#REF!</v>
      </c>
      <c r="E83" s="29" t="e">
        <f>#REF!</f>
        <v>#REF!</v>
      </c>
      <c r="F83" s="29" t="e">
        <f>#REF!</f>
        <v>#REF!</v>
      </c>
      <c r="G83" s="29" t="e">
        <f>#REF!</f>
        <v>#REF!</v>
      </c>
      <c r="H83" s="29" t="e">
        <f>#REF!</f>
        <v>#REF!</v>
      </c>
      <c r="I83" s="29" t="e">
        <f>#REF!</f>
        <v>#REF!</v>
      </c>
      <c r="J83" s="29" t="e">
        <f>#REF!</f>
        <v>#REF!</v>
      </c>
      <c r="K83" s="29" t="e">
        <f>#REF!</f>
        <v>#REF!</v>
      </c>
      <c r="L83" s="29" t="e">
        <f>#REF!</f>
        <v>#REF!</v>
      </c>
      <c r="M83" s="135">
        <v>2500</v>
      </c>
      <c r="N83" s="135">
        <v>1</v>
      </c>
      <c r="O83" s="33" t="e">
        <f t="shared" si="37"/>
        <v>#REF!</v>
      </c>
      <c r="P83" s="33" t="e">
        <f t="shared" si="38"/>
        <v>#REF!</v>
      </c>
      <c r="Q83" s="33" t="e">
        <f t="shared" si="39"/>
        <v>#REF!</v>
      </c>
      <c r="R83" s="33" t="e">
        <f t="shared" si="40"/>
        <v>#REF!</v>
      </c>
      <c r="S83" s="33" t="e">
        <f t="shared" si="41"/>
        <v>#REF!</v>
      </c>
      <c r="T83" s="33" t="e">
        <f t="shared" si="42"/>
        <v>#REF!</v>
      </c>
      <c r="U83" s="33" t="e">
        <f t="shared" si="43"/>
        <v>#REF!</v>
      </c>
      <c r="V83" s="33" t="e">
        <f t="shared" si="44"/>
        <v>#REF!</v>
      </c>
      <c r="W83" s="33" t="e">
        <f t="shared" si="45"/>
        <v>#REF!</v>
      </c>
      <c r="X83" s="33" t="e">
        <f t="shared" si="46"/>
        <v>#REF!</v>
      </c>
      <c r="Y83" s="130" t="s">
        <v>128</v>
      </c>
      <c r="Z83" s="35" t="s">
        <v>125</v>
      </c>
    </row>
    <row r="84" spans="1:26" x14ac:dyDescent="0.25">
      <c r="A84" s="85" t="s">
        <v>200</v>
      </c>
      <c r="B84" s="77" t="s">
        <v>199</v>
      </c>
      <c r="C84" s="29" t="e">
        <f>#REF!</f>
        <v>#REF!</v>
      </c>
      <c r="D84" s="29" t="e">
        <f>#REF!</f>
        <v>#REF!</v>
      </c>
      <c r="E84" s="29" t="e">
        <f>#REF!</f>
        <v>#REF!</v>
      </c>
      <c r="F84" s="29" t="e">
        <f>#REF!</f>
        <v>#REF!</v>
      </c>
      <c r="G84" s="29" t="e">
        <f>#REF!</f>
        <v>#REF!</v>
      </c>
      <c r="H84" s="29" t="e">
        <f>#REF!</f>
        <v>#REF!</v>
      </c>
      <c r="I84" s="29" t="e">
        <f>#REF!</f>
        <v>#REF!</v>
      </c>
      <c r="J84" s="29" t="e">
        <f>#REF!</f>
        <v>#REF!</v>
      </c>
      <c r="K84" s="29" t="e">
        <f>#REF!</f>
        <v>#REF!</v>
      </c>
      <c r="L84" s="29" t="e">
        <f>#REF!</f>
        <v>#REF!</v>
      </c>
      <c r="M84" s="135">
        <v>2500</v>
      </c>
      <c r="N84" s="135">
        <v>1</v>
      </c>
      <c r="O84" s="33" t="e">
        <f t="shared" si="37"/>
        <v>#REF!</v>
      </c>
      <c r="P84" s="33" t="e">
        <f t="shared" si="38"/>
        <v>#REF!</v>
      </c>
      <c r="Q84" s="33" t="e">
        <f t="shared" si="39"/>
        <v>#REF!</v>
      </c>
      <c r="R84" s="33" t="e">
        <f t="shared" si="40"/>
        <v>#REF!</v>
      </c>
      <c r="S84" s="33" t="e">
        <f t="shared" si="41"/>
        <v>#REF!</v>
      </c>
      <c r="T84" s="33" t="e">
        <f t="shared" si="42"/>
        <v>#REF!</v>
      </c>
      <c r="U84" s="33" t="e">
        <f t="shared" si="43"/>
        <v>#REF!</v>
      </c>
      <c r="V84" s="33" t="e">
        <f t="shared" si="44"/>
        <v>#REF!</v>
      </c>
      <c r="W84" s="33" t="e">
        <f t="shared" si="45"/>
        <v>#REF!</v>
      </c>
      <c r="X84" s="33" t="e">
        <f t="shared" si="46"/>
        <v>#REF!</v>
      </c>
      <c r="Y84" s="131" t="s">
        <v>198</v>
      </c>
      <c r="Z84" s="35"/>
    </row>
    <row r="85" spans="1:26" x14ac:dyDescent="0.25">
      <c r="A85" s="127" t="s">
        <v>200</v>
      </c>
      <c r="B85" s="126"/>
      <c r="C85" s="29" t="e">
        <f>#REF!</f>
        <v>#REF!</v>
      </c>
      <c r="D85" s="29" t="e">
        <f>#REF!</f>
        <v>#REF!</v>
      </c>
      <c r="E85" s="29" t="e">
        <f>#REF!</f>
        <v>#REF!</v>
      </c>
      <c r="F85" s="29" t="e">
        <f>#REF!</f>
        <v>#REF!</v>
      </c>
      <c r="G85" s="29" t="e">
        <f>#REF!</f>
        <v>#REF!</v>
      </c>
      <c r="H85" s="29" t="e">
        <f>#REF!</f>
        <v>#REF!</v>
      </c>
      <c r="I85" s="29" t="e">
        <f>#REF!</f>
        <v>#REF!</v>
      </c>
      <c r="J85" s="29" t="e">
        <f>#REF!</f>
        <v>#REF!</v>
      </c>
      <c r="K85" s="29" t="e">
        <f>#REF!</f>
        <v>#REF!</v>
      </c>
      <c r="L85" s="29" t="e">
        <f>#REF!</f>
        <v>#REF!</v>
      </c>
      <c r="M85" s="135">
        <v>2500</v>
      </c>
      <c r="N85" s="135">
        <v>1</v>
      </c>
      <c r="O85" s="33" t="e">
        <f t="shared" si="37"/>
        <v>#REF!</v>
      </c>
      <c r="P85" s="33" t="e">
        <f t="shared" si="38"/>
        <v>#REF!</v>
      </c>
      <c r="Q85" s="33" t="e">
        <f t="shared" si="39"/>
        <v>#REF!</v>
      </c>
      <c r="R85" s="33" t="e">
        <f t="shared" si="40"/>
        <v>#REF!</v>
      </c>
      <c r="S85" s="33" t="e">
        <f t="shared" si="41"/>
        <v>#REF!</v>
      </c>
      <c r="T85" s="33" t="e">
        <f t="shared" si="42"/>
        <v>#REF!</v>
      </c>
      <c r="U85" s="33" t="e">
        <f t="shared" si="43"/>
        <v>#REF!</v>
      </c>
      <c r="V85" s="33" t="e">
        <f t="shared" si="44"/>
        <v>#REF!</v>
      </c>
      <c r="W85" s="33" t="e">
        <f t="shared" si="45"/>
        <v>#REF!</v>
      </c>
      <c r="X85" s="33" t="e">
        <f t="shared" si="46"/>
        <v>#REF!</v>
      </c>
      <c r="Y85" s="133" t="s">
        <v>85</v>
      </c>
      <c r="Z85" s="35"/>
    </row>
    <row r="86" spans="1:26" s="4" customFormat="1" x14ac:dyDescent="0.25">
      <c r="A86" s="165"/>
      <c r="B86" s="87"/>
      <c r="C86" s="29" t="e">
        <f>C79</f>
        <v>#REF!</v>
      </c>
      <c r="D86" s="29" t="e">
        <f t="shared" ref="D86:L86" si="47">D79</f>
        <v>#REF!</v>
      </c>
      <c r="E86" s="29" t="e">
        <f t="shared" si="47"/>
        <v>#REF!</v>
      </c>
      <c r="F86" s="29" t="e">
        <f t="shared" si="47"/>
        <v>#REF!</v>
      </c>
      <c r="G86" s="29" t="e">
        <f t="shared" si="47"/>
        <v>#REF!</v>
      </c>
      <c r="H86" s="29" t="e">
        <f t="shared" si="47"/>
        <v>#REF!</v>
      </c>
      <c r="I86" s="29" t="e">
        <f t="shared" si="47"/>
        <v>#REF!</v>
      </c>
      <c r="J86" s="29" t="e">
        <f t="shared" si="47"/>
        <v>#REF!</v>
      </c>
      <c r="K86" s="29" t="e">
        <f t="shared" si="47"/>
        <v>#REF!</v>
      </c>
      <c r="L86" s="29" t="e">
        <f t="shared" si="47"/>
        <v>#REF!</v>
      </c>
      <c r="M86" s="157"/>
      <c r="N86" s="157"/>
      <c r="O86" s="158"/>
      <c r="P86" s="158"/>
      <c r="Q86" s="158"/>
      <c r="R86" s="158"/>
      <c r="S86" s="158"/>
      <c r="T86" s="158"/>
      <c r="U86" s="158"/>
      <c r="V86" s="158"/>
      <c r="W86" s="158"/>
      <c r="X86" s="158"/>
      <c r="Y86" s="167"/>
      <c r="Z86" s="160"/>
    </row>
    <row r="87" spans="1:26" s="4" customFormat="1" x14ac:dyDescent="0.25">
      <c r="A87" s="165"/>
      <c r="B87" s="87"/>
      <c r="C87" s="29" t="e">
        <f>C80</f>
        <v>#REF!</v>
      </c>
      <c r="D87" s="29" t="e">
        <f t="shared" ref="D87:L87" si="48">D80</f>
        <v>#REF!</v>
      </c>
      <c r="E87" s="29" t="e">
        <f t="shared" si="48"/>
        <v>#REF!</v>
      </c>
      <c r="F87" s="29" t="e">
        <f t="shared" si="48"/>
        <v>#REF!</v>
      </c>
      <c r="G87" s="29" t="e">
        <f t="shared" si="48"/>
        <v>#REF!</v>
      </c>
      <c r="H87" s="29" t="e">
        <f t="shared" si="48"/>
        <v>#REF!</v>
      </c>
      <c r="I87" s="29" t="e">
        <f t="shared" si="48"/>
        <v>#REF!</v>
      </c>
      <c r="J87" s="29" t="e">
        <f t="shared" si="48"/>
        <v>#REF!</v>
      </c>
      <c r="K87" s="29" t="e">
        <f t="shared" si="48"/>
        <v>#REF!</v>
      </c>
      <c r="L87" s="29" t="e">
        <f t="shared" si="48"/>
        <v>#REF!</v>
      </c>
      <c r="M87" s="157"/>
      <c r="N87" s="157"/>
      <c r="O87" s="158"/>
      <c r="P87" s="158"/>
      <c r="Q87" s="158"/>
      <c r="R87" s="158"/>
      <c r="S87" s="158"/>
      <c r="T87" s="158"/>
      <c r="U87" s="158"/>
      <c r="V87" s="158"/>
      <c r="W87" s="158"/>
      <c r="X87" s="158"/>
      <c r="Y87" s="167"/>
      <c r="Z87" s="160"/>
    </row>
    <row r="88" spans="1:26" s="4" customFormat="1" x14ac:dyDescent="0.25">
      <c r="A88" s="165"/>
      <c r="B88" s="87"/>
      <c r="C88" s="29" t="e">
        <f>C82</f>
        <v>#REF!</v>
      </c>
      <c r="D88" s="29" t="e">
        <f t="shared" ref="D88:L88" si="49">D82</f>
        <v>#REF!</v>
      </c>
      <c r="E88" s="29" t="e">
        <f t="shared" si="49"/>
        <v>#REF!</v>
      </c>
      <c r="F88" s="29" t="e">
        <f t="shared" si="49"/>
        <v>#REF!</v>
      </c>
      <c r="G88" s="29" t="e">
        <f t="shared" si="49"/>
        <v>#REF!</v>
      </c>
      <c r="H88" s="29" t="e">
        <f t="shared" si="49"/>
        <v>#REF!</v>
      </c>
      <c r="I88" s="29" t="e">
        <f t="shared" si="49"/>
        <v>#REF!</v>
      </c>
      <c r="J88" s="29" t="e">
        <f t="shared" si="49"/>
        <v>#REF!</v>
      </c>
      <c r="K88" s="29" t="e">
        <f t="shared" si="49"/>
        <v>#REF!</v>
      </c>
      <c r="L88" s="29" t="e">
        <f t="shared" si="49"/>
        <v>#REF!</v>
      </c>
      <c r="M88" s="157"/>
      <c r="N88" s="157"/>
      <c r="O88" s="158"/>
      <c r="P88" s="158"/>
      <c r="Q88" s="158"/>
      <c r="R88" s="158"/>
      <c r="S88" s="158"/>
      <c r="T88" s="158"/>
      <c r="U88" s="158"/>
      <c r="V88" s="158"/>
      <c r="W88" s="158"/>
      <c r="X88" s="158"/>
      <c r="Y88" s="167"/>
      <c r="Z88" s="160"/>
    </row>
    <row r="89" spans="1:26" s="4" customFormat="1" x14ac:dyDescent="0.25">
      <c r="A89" s="165"/>
      <c r="B89" s="87"/>
      <c r="C89" s="29" t="e">
        <f>C84</f>
        <v>#REF!</v>
      </c>
      <c r="D89" s="29" t="e">
        <f t="shared" ref="D89:L89" si="50">D84</f>
        <v>#REF!</v>
      </c>
      <c r="E89" s="29" t="e">
        <f t="shared" si="50"/>
        <v>#REF!</v>
      </c>
      <c r="F89" s="29" t="e">
        <f t="shared" si="50"/>
        <v>#REF!</v>
      </c>
      <c r="G89" s="29" t="e">
        <f t="shared" si="50"/>
        <v>#REF!</v>
      </c>
      <c r="H89" s="29" t="e">
        <f t="shared" si="50"/>
        <v>#REF!</v>
      </c>
      <c r="I89" s="29" t="e">
        <f t="shared" si="50"/>
        <v>#REF!</v>
      </c>
      <c r="J89" s="29" t="e">
        <f t="shared" si="50"/>
        <v>#REF!</v>
      </c>
      <c r="K89" s="29" t="e">
        <f t="shared" si="50"/>
        <v>#REF!</v>
      </c>
      <c r="L89" s="29" t="e">
        <f t="shared" si="50"/>
        <v>#REF!</v>
      </c>
      <c r="M89" s="157"/>
      <c r="N89" s="157"/>
      <c r="O89" s="158"/>
      <c r="P89" s="158"/>
      <c r="Q89" s="158"/>
      <c r="R89" s="158"/>
      <c r="S89" s="158"/>
      <c r="T89" s="158"/>
      <c r="U89" s="158"/>
      <c r="V89" s="158"/>
      <c r="W89" s="158"/>
      <c r="X89" s="158"/>
      <c r="Y89" s="167"/>
      <c r="Z89" s="160"/>
    </row>
    <row r="90" spans="1:26" x14ac:dyDescent="0.25">
      <c r="A90" s="84" t="s">
        <v>201</v>
      </c>
      <c r="B90" s="77" t="s">
        <v>199</v>
      </c>
      <c r="C90" s="29" t="e">
        <f>#REF!</f>
        <v>#REF!</v>
      </c>
      <c r="D90" s="29" t="e">
        <f>#REF!</f>
        <v>#REF!</v>
      </c>
      <c r="E90" s="29" t="e">
        <f>#REF!</f>
        <v>#REF!</v>
      </c>
      <c r="F90" s="29" t="e">
        <f>#REF!</f>
        <v>#REF!</v>
      </c>
      <c r="G90" s="29" t="e">
        <f>#REF!</f>
        <v>#REF!</v>
      </c>
      <c r="H90" s="29" t="e">
        <f>#REF!</f>
        <v>#REF!</v>
      </c>
      <c r="I90" s="29" t="e">
        <f>#REF!</f>
        <v>#REF!</v>
      </c>
      <c r="J90" s="29" t="e">
        <f>#REF!</f>
        <v>#REF!</v>
      </c>
      <c r="K90" s="29" t="e">
        <f>#REF!</f>
        <v>#REF!</v>
      </c>
      <c r="L90" s="29" t="e">
        <f>#REF!</f>
        <v>#REF!</v>
      </c>
      <c r="M90" s="135">
        <v>2500</v>
      </c>
      <c r="N90" s="135">
        <v>1</v>
      </c>
      <c r="O90" s="33" t="e">
        <f>D90*M90</f>
        <v>#REF!</v>
      </c>
      <c r="P90" s="33" t="e">
        <f>F90*M90</f>
        <v>#REF!</v>
      </c>
      <c r="Q90" s="33" t="e">
        <f>H90*M90</f>
        <v>#REF!</v>
      </c>
      <c r="R90" s="33" t="e">
        <f>J90*M90</f>
        <v>#REF!</v>
      </c>
      <c r="S90" s="33" t="e">
        <f>L90*M90</f>
        <v>#REF!</v>
      </c>
      <c r="T90" s="33" t="e">
        <f t="shared" si="42"/>
        <v>#REF!</v>
      </c>
      <c r="U90" s="33" t="e">
        <f t="shared" si="43"/>
        <v>#REF!</v>
      </c>
      <c r="V90" s="33" t="e">
        <f t="shared" si="44"/>
        <v>#REF!</v>
      </c>
      <c r="W90" s="33" t="e">
        <f t="shared" si="45"/>
        <v>#REF!</v>
      </c>
      <c r="X90" s="33" t="e">
        <f t="shared" si="46"/>
        <v>#REF!</v>
      </c>
      <c r="Y90" s="131" t="s">
        <v>198</v>
      </c>
      <c r="Z90" s="35"/>
    </row>
    <row r="91" spans="1:26" x14ac:dyDescent="0.25">
      <c r="A91" s="31" t="s">
        <v>46</v>
      </c>
      <c r="B91" s="88" t="s">
        <v>203</v>
      </c>
      <c r="C91" s="29" t="e">
        <f>#REF!</f>
        <v>#REF!</v>
      </c>
      <c r="D91" s="29" t="e">
        <f>#REF!</f>
        <v>#REF!</v>
      </c>
      <c r="E91" s="29" t="e">
        <f>#REF!</f>
        <v>#REF!</v>
      </c>
      <c r="F91" s="29" t="e">
        <f>#REF!</f>
        <v>#REF!</v>
      </c>
      <c r="G91" s="29" t="e">
        <f>#REF!</f>
        <v>#REF!</v>
      </c>
      <c r="H91" s="29" t="e">
        <f>#REF!</f>
        <v>#REF!</v>
      </c>
      <c r="I91" s="29" t="e">
        <f>#REF!</f>
        <v>#REF!</v>
      </c>
      <c r="J91" s="29" t="e">
        <f>#REF!</f>
        <v>#REF!</v>
      </c>
      <c r="K91" s="29" t="e">
        <f>#REF!</f>
        <v>#REF!</v>
      </c>
      <c r="L91" s="29" t="e">
        <f>#REF!</f>
        <v>#REF!</v>
      </c>
      <c r="M91" s="135">
        <v>2500</v>
      </c>
      <c r="N91" s="135">
        <v>1</v>
      </c>
      <c r="O91" s="33" t="e">
        <f>D91*M91</f>
        <v>#REF!</v>
      </c>
      <c r="P91" s="33" t="e">
        <f>F91*M91</f>
        <v>#REF!</v>
      </c>
      <c r="Q91" s="33" t="e">
        <f>H91*M91</f>
        <v>#REF!</v>
      </c>
      <c r="R91" s="33" t="e">
        <f>J91*M91</f>
        <v>#REF!</v>
      </c>
      <c r="S91" s="33" t="e">
        <f>L91*M91</f>
        <v>#REF!</v>
      </c>
      <c r="T91" s="33" t="e">
        <f t="shared" si="42"/>
        <v>#REF!</v>
      </c>
      <c r="U91" s="33" t="e">
        <f t="shared" si="43"/>
        <v>#REF!</v>
      </c>
      <c r="V91" s="33" t="e">
        <f t="shared" si="44"/>
        <v>#REF!</v>
      </c>
      <c r="W91" s="33" t="e">
        <f t="shared" si="45"/>
        <v>#REF!</v>
      </c>
      <c r="X91" s="33" t="e">
        <f t="shared" si="46"/>
        <v>#REF!</v>
      </c>
      <c r="Y91" s="130" t="s">
        <v>128</v>
      </c>
      <c r="Z91" s="35" t="s">
        <v>137</v>
      </c>
    </row>
    <row r="92" spans="1:26" x14ac:dyDescent="0.25">
      <c r="A92" s="85" t="s">
        <v>46</v>
      </c>
      <c r="B92" s="77" t="s">
        <v>199</v>
      </c>
      <c r="C92" s="29" t="e">
        <f>#REF!</f>
        <v>#REF!</v>
      </c>
      <c r="D92" s="29" t="e">
        <f>#REF!</f>
        <v>#REF!</v>
      </c>
      <c r="E92" s="29" t="e">
        <f>#REF!</f>
        <v>#REF!</v>
      </c>
      <c r="F92" s="29" t="e">
        <f>#REF!</f>
        <v>#REF!</v>
      </c>
      <c r="G92" s="29" t="e">
        <f>#REF!</f>
        <v>#REF!</v>
      </c>
      <c r="H92" s="29" t="e">
        <f>#REF!</f>
        <v>#REF!</v>
      </c>
      <c r="I92" s="29" t="e">
        <f>#REF!</f>
        <v>#REF!</v>
      </c>
      <c r="J92" s="29" t="e">
        <f>#REF!</f>
        <v>#REF!</v>
      </c>
      <c r="K92" s="29" t="e">
        <f>#REF!</f>
        <v>#REF!</v>
      </c>
      <c r="L92" s="29" t="e">
        <f>#REF!</f>
        <v>#REF!</v>
      </c>
      <c r="M92" s="135">
        <v>2500</v>
      </c>
      <c r="N92" s="135">
        <v>1</v>
      </c>
      <c r="O92" s="33" t="e">
        <f>D92*M92</f>
        <v>#REF!</v>
      </c>
      <c r="P92" s="33" t="e">
        <f>F92*M92</f>
        <v>#REF!</v>
      </c>
      <c r="Q92" s="33" t="e">
        <f>H92*M92</f>
        <v>#REF!</v>
      </c>
      <c r="R92" s="33" t="e">
        <f>J92*M92</f>
        <v>#REF!</v>
      </c>
      <c r="S92" s="33" t="e">
        <f>L92*M92</f>
        <v>#REF!</v>
      </c>
      <c r="T92" s="33" t="e">
        <f t="shared" si="42"/>
        <v>#REF!</v>
      </c>
      <c r="U92" s="33" t="e">
        <f t="shared" si="43"/>
        <v>#REF!</v>
      </c>
      <c r="V92" s="33" t="e">
        <f t="shared" si="44"/>
        <v>#REF!</v>
      </c>
      <c r="W92" s="33" t="e">
        <f t="shared" si="45"/>
        <v>#REF!</v>
      </c>
      <c r="X92" s="33" t="e">
        <f t="shared" si="46"/>
        <v>#REF!</v>
      </c>
      <c r="Y92" s="131" t="s">
        <v>198</v>
      </c>
      <c r="Z92" s="35"/>
    </row>
    <row r="93" spans="1:26" s="4" customFormat="1" x14ac:dyDescent="0.25">
      <c r="A93" s="165"/>
      <c r="B93" s="87"/>
      <c r="C93" s="29" t="e">
        <f>C92</f>
        <v>#REF!</v>
      </c>
      <c r="D93" s="29" t="e">
        <f t="shared" ref="D93:L93" si="51">D92</f>
        <v>#REF!</v>
      </c>
      <c r="E93" s="29" t="e">
        <f t="shared" si="51"/>
        <v>#REF!</v>
      </c>
      <c r="F93" s="29" t="e">
        <f t="shared" si="51"/>
        <v>#REF!</v>
      </c>
      <c r="G93" s="29" t="e">
        <f t="shared" si="51"/>
        <v>#REF!</v>
      </c>
      <c r="H93" s="29" t="e">
        <f t="shared" si="51"/>
        <v>#REF!</v>
      </c>
      <c r="I93" s="29" t="e">
        <f t="shared" si="51"/>
        <v>#REF!</v>
      </c>
      <c r="J93" s="29" t="e">
        <f t="shared" si="51"/>
        <v>#REF!</v>
      </c>
      <c r="K93" s="29" t="e">
        <f t="shared" si="51"/>
        <v>#REF!</v>
      </c>
      <c r="L93" s="29" t="e">
        <f t="shared" si="51"/>
        <v>#REF!</v>
      </c>
      <c r="M93" s="157"/>
      <c r="N93" s="157"/>
      <c r="O93" s="158"/>
      <c r="P93" s="158"/>
      <c r="Q93" s="158"/>
      <c r="R93" s="158"/>
      <c r="S93" s="158"/>
      <c r="T93" s="158"/>
      <c r="U93" s="158"/>
      <c r="V93" s="158"/>
      <c r="W93" s="158"/>
      <c r="X93" s="158"/>
      <c r="Y93" s="159"/>
      <c r="Z93" s="160"/>
    </row>
    <row r="94" spans="1:26" x14ac:dyDescent="0.25">
      <c r="A94" s="30" t="s">
        <v>47</v>
      </c>
      <c r="B94" s="80" t="s">
        <v>95</v>
      </c>
      <c r="C94" s="29" t="e">
        <f>#REF!</f>
        <v>#REF!</v>
      </c>
      <c r="D94" s="29" t="e">
        <f>#REF!</f>
        <v>#REF!</v>
      </c>
      <c r="E94" s="29" t="e">
        <f>#REF!</f>
        <v>#REF!</v>
      </c>
      <c r="F94" s="29" t="e">
        <f>#REF!</f>
        <v>#REF!</v>
      </c>
      <c r="G94" s="29" t="e">
        <f>#REF!</f>
        <v>#REF!</v>
      </c>
      <c r="H94" s="29" t="e">
        <f>#REF!</f>
        <v>#REF!</v>
      </c>
      <c r="I94" s="29" t="e">
        <f>#REF!</f>
        <v>#REF!</v>
      </c>
      <c r="J94" s="29" t="e">
        <f>#REF!</f>
        <v>#REF!</v>
      </c>
      <c r="K94" s="29" t="e">
        <f>#REF!</f>
        <v>#REF!</v>
      </c>
      <c r="L94" s="29" t="e">
        <f>#REF!</f>
        <v>#REF!</v>
      </c>
      <c r="M94" s="135">
        <v>2500</v>
      </c>
      <c r="N94" s="135">
        <v>1</v>
      </c>
      <c r="O94" s="33" t="e">
        <f t="shared" ref="O94:O152" si="52">D94*M94</f>
        <v>#REF!</v>
      </c>
      <c r="P94" s="33" t="e">
        <f t="shared" ref="P94:P152" si="53">F94*M94</f>
        <v>#REF!</v>
      </c>
      <c r="Q94" s="33" t="e">
        <f t="shared" ref="Q94:Q152" si="54">H94*M94</f>
        <v>#REF!</v>
      </c>
      <c r="R94" s="33" t="e">
        <f t="shared" ref="R94:R152" si="55">J94*M94</f>
        <v>#REF!</v>
      </c>
      <c r="S94" s="33" t="e">
        <f t="shared" ref="S94:S152" si="56">L94*M94</f>
        <v>#REF!</v>
      </c>
      <c r="T94" s="33" t="e">
        <f t="shared" si="42"/>
        <v>#REF!</v>
      </c>
      <c r="U94" s="33" t="e">
        <f t="shared" si="43"/>
        <v>#REF!</v>
      </c>
      <c r="V94" s="33" t="e">
        <f t="shared" si="44"/>
        <v>#REF!</v>
      </c>
      <c r="W94" s="33" t="e">
        <f t="shared" si="45"/>
        <v>#REF!</v>
      </c>
      <c r="X94" s="33" t="e">
        <f t="shared" si="46"/>
        <v>#REF!</v>
      </c>
      <c r="Y94" s="24" t="s">
        <v>81</v>
      </c>
      <c r="Z94" s="35" t="s">
        <v>121</v>
      </c>
    </row>
    <row r="95" spans="1:26" x14ac:dyDescent="0.25">
      <c r="A95" s="31" t="s">
        <v>47</v>
      </c>
      <c r="B95" s="88" t="s">
        <v>203</v>
      </c>
      <c r="C95" s="29" t="e">
        <f>#REF!</f>
        <v>#REF!</v>
      </c>
      <c r="D95" s="29" t="e">
        <f>#REF!</f>
        <v>#REF!</v>
      </c>
      <c r="E95" s="29" t="e">
        <f>#REF!</f>
        <v>#REF!</v>
      </c>
      <c r="F95" s="29" t="e">
        <f>#REF!</f>
        <v>#REF!</v>
      </c>
      <c r="G95" s="29" t="e">
        <f>#REF!</f>
        <v>#REF!</v>
      </c>
      <c r="H95" s="29" t="e">
        <f>#REF!</f>
        <v>#REF!</v>
      </c>
      <c r="I95" s="29" t="e">
        <f>#REF!</f>
        <v>#REF!</v>
      </c>
      <c r="J95" s="29" t="e">
        <f>#REF!</f>
        <v>#REF!</v>
      </c>
      <c r="K95" s="29" t="e">
        <f>#REF!</f>
        <v>#REF!</v>
      </c>
      <c r="L95" s="29" t="e">
        <f>#REF!</f>
        <v>#REF!</v>
      </c>
      <c r="M95" s="135">
        <v>2500</v>
      </c>
      <c r="N95" s="135">
        <v>1</v>
      </c>
      <c r="O95" s="33" t="e">
        <f t="shared" si="52"/>
        <v>#REF!</v>
      </c>
      <c r="P95" s="33" t="e">
        <f t="shared" si="53"/>
        <v>#REF!</v>
      </c>
      <c r="Q95" s="33" t="e">
        <f t="shared" si="54"/>
        <v>#REF!</v>
      </c>
      <c r="R95" s="33" t="e">
        <f t="shared" si="55"/>
        <v>#REF!</v>
      </c>
      <c r="S95" s="33" t="e">
        <f t="shared" si="56"/>
        <v>#REF!</v>
      </c>
      <c r="T95" s="33" t="e">
        <f t="shared" si="42"/>
        <v>#REF!</v>
      </c>
      <c r="U95" s="33" t="e">
        <f t="shared" si="43"/>
        <v>#REF!</v>
      </c>
      <c r="V95" s="33" t="e">
        <f t="shared" si="44"/>
        <v>#REF!</v>
      </c>
      <c r="W95" s="33" t="e">
        <f t="shared" si="45"/>
        <v>#REF!</v>
      </c>
      <c r="X95" s="33" t="e">
        <f t="shared" si="46"/>
        <v>#REF!</v>
      </c>
      <c r="Y95" s="130" t="s">
        <v>128</v>
      </c>
      <c r="Z95" s="35"/>
    </row>
    <row r="96" spans="1:26" x14ac:dyDescent="0.25">
      <c r="A96" s="85" t="s">
        <v>47</v>
      </c>
      <c r="B96" s="77" t="s">
        <v>199</v>
      </c>
      <c r="C96" s="29" t="e">
        <f>#REF!</f>
        <v>#REF!</v>
      </c>
      <c r="D96" s="29" t="e">
        <f>#REF!</f>
        <v>#REF!</v>
      </c>
      <c r="E96" s="29" t="e">
        <f>#REF!</f>
        <v>#REF!</v>
      </c>
      <c r="F96" s="29" t="e">
        <f>#REF!</f>
        <v>#REF!</v>
      </c>
      <c r="G96" s="29" t="e">
        <f>#REF!</f>
        <v>#REF!</v>
      </c>
      <c r="H96" s="29" t="e">
        <f>#REF!</f>
        <v>#REF!</v>
      </c>
      <c r="I96" s="29" t="e">
        <f>#REF!</f>
        <v>#REF!</v>
      </c>
      <c r="J96" s="29" t="e">
        <f>#REF!</f>
        <v>#REF!</v>
      </c>
      <c r="K96" s="29" t="e">
        <f>#REF!</f>
        <v>#REF!</v>
      </c>
      <c r="L96" s="29" t="e">
        <f>#REF!</f>
        <v>#REF!</v>
      </c>
      <c r="M96" s="135">
        <v>2500</v>
      </c>
      <c r="N96" s="135">
        <v>1</v>
      </c>
      <c r="O96" s="33" t="e">
        <f t="shared" si="52"/>
        <v>#REF!</v>
      </c>
      <c r="P96" s="33" t="e">
        <f t="shared" si="53"/>
        <v>#REF!</v>
      </c>
      <c r="Q96" s="33" t="e">
        <f t="shared" si="54"/>
        <v>#REF!</v>
      </c>
      <c r="R96" s="33" t="e">
        <f t="shared" si="55"/>
        <v>#REF!</v>
      </c>
      <c r="S96" s="33" t="e">
        <f t="shared" si="56"/>
        <v>#REF!</v>
      </c>
      <c r="T96" s="33" t="e">
        <f t="shared" si="42"/>
        <v>#REF!</v>
      </c>
      <c r="U96" s="33" t="e">
        <f t="shared" si="43"/>
        <v>#REF!</v>
      </c>
      <c r="V96" s="33" t="e">
        <f t="shared" si="44"/>
        <v>#REF!</v>
      </c>
      <c r="W96" s="33" t="e">
        <f t="shared" si="45"/>
        <v>#REF!</v>
      </c>
      <c r="X96" s="33" t="e">
        <f t="shared" si="46"/>
        <v>#REF!</v>
      </c>
      <c r="Y96" s="131" t="s">
        <v>198</v>
      </c>
      <c r="Z96" s="35"/>
    </row>
    <row r="97" spans="1:26" x14ac:dyDescent="0.25">
      <c r="A97" s="127" t="s">
        <v>47</v>
      </c>
      <c r="B97" s="126"/>
      <c r="C97" s="29" t="e">
        <f>#REF!</f>
        <v>#REF!</v>
      </c>
      <c r="D97" s="29" t="e">
        <f>#REF!</f>
        <v>#REF!</v>
      </c>
      <c r="E97" s="29" t="e">
        <f>#REF!</f>
        <v>#REF!</v>
      </c>
      <c r="F97" s="29" t="e">
        <f>#REF!</f>
        <v>#REF!</v>
      </c>
      <c r="G97" s="29" t="e">
        <f>#REF!</f>
        <v>#REF!</v>
      </c>
      <c r="H97" s="29" t="e">
        <f>#REF!</f>
        <v>#REF!</v>
      </c>
      <c r="I97" s="29" t="e">
        <f>#REF!</f>
        <v>#REF!</v>
      </c>
      <c r="J97" s="29" t="e">
        <f>#REF!</f>
        <v>#REF!</v>
      </c>
      <c r="K97" s="29" t="e">
        <f>#REF!</f>
        <v>#REF!</v>
      </c>
      <c r="L97" s="29" t="e">
        <f>#REF!</f>
        <v>#REF!</v>
      </c>
      <c r="M97" s="135">
        <v>2500</v>
      </c>
      <c r="N97" s="135">
        <v>1</v>
      </c>
      <c r="O97" s="33" t="e">
        <f t="shared" si="52"/>
        <v>#REF!</v>
      </c>
      <c r="P97" s="33" t="e">
        <f t="shared" si="53"/>
        <v>#REF!</v>
      </c>
      <c r="Q97" s="33" t="e">
        <f t="shared" si="54"/>
        <v>#REF!</v>
      </c>
      <c r="R97" s="33" t="e">
        <f t="shared" si="55"/>
        <v>#REF!</v>
      </c>
      <c r="S97" s="33" t="e">
        <f t="shared" si="56"/>
        <v>#REF!</v>
      </c>
      <c r="T97" s="33" t="e">
        <f t="shared" si="42"/>
        <v>#REF!</v>
      </c>
      <c r="U97" s="33" t="e">
        <f t="shared" si="43"/>
        <v>#REF!</v>
      </c>
      <c r="V97" s="33" t="e">
        <f t="shared" si="44"/>
        <v>#REF!</v>
      </c>
      <c r="W97" s="33" t="e">
        <f t="shared" si="45"/>
        <v>#REF!</v>
      </c>
      <c r="X97" s="33" t="e">
        <f t="shared" si="46"/>
        <v>#REF!</v>
      </c>
      <c r="Y97" s="133" t="s">
        <v>85</v>
      </c>
      <c r="Z97" s="35"/>
    </row>
    <row r="98" spans="1:26" s="4" customFormat="1" x14ac:dyDescent="0.25">
      <c r="A98" s="170"/>
      <c r="B98" s="87"/>
      <c r="C98" s="29" t="e">
        <f>C94</f>
        <v>#REF!</v>
      </c>
      <c r="D98" s="29" t="e">
        <f t="shared" ref="D98:L98" si="57">D94</f>
        <v>#REF!</v>
      </c>
      <c r="E98" s="29" t="e">
        <f t="shared" si="57"/>
        <v>#REF!</v>
      </c>
      <c r="F98" s="29" t="e">
        <f t="shared" si="57"/>
        <v>#REF!</v>
      </c>
      <c r="G98" s="29" t="e">
        <f t="shared" si="57"/>
        <v>#REF!</v>
      </c>
      <c r="H98" s="29" t="e">
        <f t="shared" si="57"/>
        <v>#REF!</v>
      </c>
      <c r="I98" s="29" t="e">
        <f t="shared" si="57"/>
        <v>#REF!</v>
      </c>
      <c r="J98" s="29" t="e">
        <f t="shared" si="57"/>
        <v>#REF!</v>
      </c>
      <c r="K98" s="29" t="e">
        <f t="shared" si="57"/>
        <v>#REF!</v>
      </c>
      <c r="L98" s="29" t="e">
        <f t="shared" si="57"/>
        <v>#REF!</v>
      </c>
      <c r="M98" s="157"/>
      <c r="N98" s="157"/>
      <c r="O98" s="158"/>
      <c r="P98" s="158"/>
      <c r="Q98" s="158"/>
      <c r="R98" s="158"/>
      <c r="S98" s="158"/>
      <c r="T98" s="158"/>
      <c r="U98" s="158"/>
      <c r="V98" s="158"/>
      <c r="W98" s="158"/>
      <c r="X98" s="158"/>
      <c r="Y98" s="167"/>
      <c r="Z98" s="160"/>
    </row>
    <row r="99" spans="1:26" x14ac:dyDescent="0.25">
      <c r="A99" s="792" t="s">
        <v>48</v>
      </c>
      <c r="B99" s="80" t="s">
        <v>288</v>
      </c>
      <c r="C99" s="29" t="e">
        <f>#REF!</f>
        <v>#REF!</v>
      </c>
      <c r="D99" s="29" t="e">
        <f>#REF!</f>
        <v>#REF!</v>
      </c>
      <c r="E99" s="29" t="e">
        <f>#REF!</f>
        <v>#REF!</v>
      </c>
      <c r="F99" s="29" t="e">
        <f>#REF!</f>
        <v>#REF!</v>
      </c>
      <c r="G99" s="29" t="e">
        <f>#REF!</f>
        <v>#REF!</v>
      </c>
      <c r="H99" s="29" t="e">
        <f>#REF!</f>
        <v>#REF!</v>
      </c>
      <c r="I99" s="29" t="e">
        <f>#REF!</f>
        <v>#REF!</v>
      </c>
      <c r="J99" s="29" t="e">
        <f>#REF!</f>
        <v>#REF!</v>
      </c>
      <c r="K99" s="29" t="e">
        <f>#REF!</f>
        <v>#REF!</v>
      </c>
      <c r="L99" s="29" t="e">
        <f>#REF!</f>
        <v>#REF!</v>
      </c>
      <c r="M99" s="135">
        <v>2500</v>
      </c>
      <c r="N99" s="135">
        <v>1</v>
      </c>
      <c r="O99" s="33" t="e">
        <f t="shared" si="52"/>
        <v>#REF!</v>
      </c>
      <c r="P99" s="33" t="e">
        <f t="shared" si="53"/>
        <v>#REF!</v>
      </c>
      <c r="Q99" s="33" t="e">
        <f t="shared" si="54"/>
        <v>#REF!</v>
      </c>
      <c r="R99" s="33" t="e">
        <f t="shared" si="55"/>
        <v>#REF!</v>
      </c>
      <c r="S99" s="33" t="e">
        <f t="shared" si="56"/>
        <v>#REF!</v>
      </c>
      <c r="T99" s="33" t="e">
        <f t="shared" si="42"/>
        <v>#REF!</v>
      </c>
      <c r="U99" s="33" t="e">
        <f t="shared" si="43"/>
        <v>#REF!</v>
      </c>
      <c r="V99" s="33" t="e">
        <f t="shared" si="44"/>
        <v>#REF!</v>
      </c>
      <c r="W99" s="33" t="e">
        <f t="shared" si="45"/>
        <v>#REF!</v>
      </c>
      <c r="X99" s="33" t="e">
        <f t="shared" si="46"/>
        <v>#REF!</v>
      </c>
      <c r="Y99" s="24" t="s">
        <v>81</v>
      </c>
      <c r="Z99" s="35" t="s">
        <v>126</v>
      </c>
    </row>
    <row r="100" spans="1:26" x14ac:dyDescent="0.25">
      <c r="A100" s="799"/>
      <c r="B100" s="80" t="s">
        <v>94</v>
      </c>
      <c r="C100" s="29" t="e">
        <f>#REF!</f>
        <v>#REF!</v>
      </c>
      <c r="D100" s="29" t="e">
        <f>#REF!</f>
        <v>#REF!</v>
      </c>
      <c r="E100" s="29" t="e">
        <f>#REF!</f>
        <v>#REF!</v>
      </c>
      <c r="F100" s="29" t="e">
        <f>#REF!</f>
        <v>#REF!</v>
      </c>
      <c r="G100" s="29" t="e">
        <f>#REF!</f>
        <v>#REF!</v>
      </c>
      <c r="H100" s="29" t="e">
        <f>#REF!</f>
        <v>#REF!</v>
      </c>
      <c r="I100" s="29" t="e">
        <f>#REF!</f>
        <v>#REF!</v>
      </c>
      <c r="J100" s="29" t="e">
        <f>#REF!</f>
        <v>#REF!</v>
      </c>
      <c r="K100" s="29" t="e">
        <f>#REF!</f>
        <v>#REF!</v>
      </c>
      <c r="L100" s="29" t="e">
        <f>#REF!</f>
        <v>#REF!</v>
      </c>
      <c r="M100" s="135">
        <v>2500</v>
      </c>
      <c r="N100" s="135">
        <v>1</v>
      </c>
      <c r="O100" s="33" t="e">
        <f t="shared" si="52"/>
        <v>#REF!</v>
      </c>
      <c r="P100" s="33" t="e">
        <f t="shared" si="53"/>
        <v>#REF!</v>
      </c>
      <c r="Q100" s="33" t="e">
        <f t="shared" si="54"/>
        <v>#REF!</v>
      </c>
      <c r="R100" s="33" t="e">
        <f t="shared" si="55"/>
        <v>#REF!</v>
      </c>
      <c r="S100" s="33" t="e">
        <f t="shared" si="56"/>
        <v>#REF!</v>
      </c>
      <c r="T100" s="33" t="e">
        <f t="shared" si="42"/>
        <v>#REF!</v>
      </c>
      <c r="U100" s="33" t="e">
        <f t="shared" si="43"/>
        <v>#REF!</v>
      </c>
      <c r="V100" s="33" t="e">
        <f t="shared" si="44"/>
        <v>#REF!</v>
      </c>
      <c r="W100" s="33" t="e">
        <f t="shared" si="45"/>
        <v>#REF!</v>
      </c>
      <c r="X100" s="33" t="e">
        <f t="shared" si="46"/>
        <v>#REF!</v>
      </c>
      <c r="Y100" s="24" t="s">
        <v>81</v>
      </c>
      <c r="Z100" s="35" t="s">
        <v>120</v>
      </c>
    </row>
    <row r="101" spans="1:26" x14ac:dyDescent="0.25">
      <c r="A101" s="800"/>
      <c r="B101" s="80" t="s">
        <v>96</v>
      </c>
      <c r="C101" s="29" t="e">
        <f>#REF!</f>
        <v>#REF!</v>
      </c>
      <c r="D101" s="29" t="e">
        <f>#REF!</f>
        <v>#REF!</v>
      </c>
      <c r="E101" s="29" t="e">
        <f>#REF!</f>
        <v>#REF!</v>
      </c>
      <c r="F101" s="29" t="e">
        <f>#REF!</f>
        <v>#REF!</v>
      </c>
      <c r="G101" s="29" t="e">
        <f>#REF!</f>
        <v>#REF!</v>
      </c>
      <c r="H101" s="29" t="e">
        <f>#REF!</f>
        <v>#REF!</v>
      </c>
      <c r="I101" s="29" t="e">
        <f>#REF!</f>
        <v>#REF!</v>
      </c>
      <c r="J101" s="29" t="e">
        <f>#REF!</f>
        <v>#REF!</v>
      </c>
      <c r="K101" s="29" t="e">
        <f>#REF!</f>
        <v>#REF!</v>
      </c>
      <c r="L101" s="29" t="e">
        <f>#REF!</f>
        <v>#REF!</v>
      </c>
      <c r="M101" s="135"/>
      <c r="N101" s="135"/>
      <c r="O101" s="33"/>
      <c r="P101" s="33"/>
      <c r="Q101" s="33"/>
      <c r="R101" s="33"/>
      <c r="S101" s="33"/>
      <c r="T101" s="33"/>
      <c r="U101" s="33"/>
      <c r="V101" s="33"/>
      <c r="W101" s="33"/>
      <c r="X101" s="33"/>
      <c r="Y101" s="24"/>
      <c r="Z101" s="35"/>
    </row>
    <row r="102" spans="1:26" x14ac:dyDescent="0.25">
      <c r="A102" s="31" t="s">
        <v>48</v>
      </c>
      <c r="B102" s="88" t="s">
        <v>203</v>
      </c>
      <c r="C102" s="29" t="e">
        <f>#REF!</f>
        <v>#REF!</v>
      </c>
      <c r="D102" s="29" t="e">
        <f>#REF!</f>
        <v>#REF!</v>
      </c>
      <c r="E102" s="29" t="e">
        <f>#REF!</f>
        <v>#REF!</v>
      </c>
      <c r="F102" s="29" t="e">
        <f>#REF!</f>
        <v>#REF!</v>
      </c>
      <c r="G102" s="29" t="e">
        <f>#REF!</f>
        <v>#REF!</v>
      </c>
      <c r="H102" s="29" t="e">
        <f>#REF!</f>
        <v>#REF!</v>
      </c>
      <c r="I102" s="29" t="e">
        <f>#REF!</f>
        <v>#REF!</v>
      </c>
      <c r="J102" s="29" t="e">
        <f>#REF!</f>
        <v>#REF!</v>
      </c>
      <c r="K102" s="29" t="e">
        <f>#REF!</f>
        <v>#REF!</v>
      </c>
      <c r="L102" s="29" t="e">
        <f>#REF!</f>
        <v>#REF!</v>
      </c>
      <c r="M102" s="135">
        <v>2500</v>
      </c>
      <c r="N102" s="135">
        <v>1</v>
      </c>
      <c r="O102" s="33" t="e">
        <f t="shared" si="52"/>
        <v>#REF!</v>
      </c>
      <c r="P102" s="33" t="e">
        <f t="shared" si="53"/>
        <v>#REF!</v>
      </c>
      <c r="Q102" s="33" t="e">
        <f t="shared" si="54"/>
        <v>#REF!</v>
      </c>
      <c r="R102" s="33" t="e">
        <f t="shared" si="55"/>
        <v>#REF!</v>
      </c>
      <c r="S102" s="33" t="e">
        <f t="shared" si="56"/>
        <v>#REF!</v>
      </c>
      <c r="T102" s="33" t="e">
        <f t="shared" si="42"/>
        <v>#REF!</v>
      </c>
      <c r="U102" s="33" t="e">
        <f t="shared" si="43"/>
        <v>#REF!</v>
      </c>
      <c r="V102" s="33" t="e">
        <f t="shared" si="44"/>
        <v>#REF!</v>
      </c>
      <c r="W102" s="33" t="e">
        <f t="shared" si="45"/>
        <v>#REF!</v>
      </c>
      <c r="X102" s="33" t="e">
        <f t="shared" si="46"/>
        <v>#REF!</v>
      </c>
      <c r="Y102" s="130" t="s">
        <v>128</v>
      </c>
      <c r="Z102" s="35" t="s">
        <v>137</v>
      </c>
    </row>
    <row r="103" spans="1:26" x14ac:dyDescent="0.25">
      <c r="A103" s="85" t="s">
        <v>48</v>
      </c>
      <c r="B103" s="77" t="s">
        <v>199</v>
      </c>
      <c r="C103" s="29" t="e">
        <f>#REF!</f>
        <v>#REF!</v>
      </c>
      <c r="D103" s="29" t="e">
        <f>#REF!</f>
        <v>#REF!</v>
      </c>
      <c r="E103" s="29" t="e">
        <f>#REF!</f>
        <v>#REF!</v>
      </c>
      <c r="F103" s="29" t="e">
        <f>#REF!</f>
        <v>#REF!</v>
      </c>
      <c r="G103" s="29" t="e">
        <f>#REF!</f>
        <v>#REF!</v>
      </c>
      <c r="H103" s="29" t="e">
        <f>#REF!</f>
        <v>#REF!</v>
      </c>
      <c r="I103" s="29" t="e">
        <f>#REF!</f>
        <v>#REF!</v>
      </c>
      <c r="J103" s="29" t="e">
        <f>#REF!</f>
        <v>#REF!</v>
      </c>
      <c r="K103" s="29" t="e">
        <f>#REF!</f>
        <v>#REF!</v>
      </c>
      <c r="L103" s="29" t="e">
        <f>#REF!</f>
        <v>#REF!</v>
      </c>
      <c r="M103" s="135">
        <v>2500</v>
      </c>
      <c r="N103" s="135">
        <v>1</v>
      </c>
      <c r="O103" s="33" t="e">
        <f t="shared" si="52"/>
        <v>#REF!</v>
      </c>
      <c r="P103" s="33" t="e">
        <f t="shared" si="53"/>
        <v>#REF!</v>
      </c>
      <c r="Q103" s="33" t="e">
        <f t="shared" si="54"/>
        <v>#REF!</v>
      </c>
      <c r="R103" s="33" t="e">
        <f t="shared" si="55"/>
        <v>#REF!</v>
      </c>
      <c r="S103" s="33" t="e">
        <f t="shared" si="56"/>
        <v>#REF!</v>
      </c>
      <c r="T103" s="33" t="e">
        <f t="shared" si="42"/>
        <v>#REF!</v>
      </c>
      <c r="U103" s="33" t="e">
        <f t="shared" si="43"/>
        <v>#REF!</v>
      </c>
      <c r="V103" s="33" t="e">
        <f t="shared" si="44"/>
        <v>#REF!</v>
      </c>
      <c r="W103" s="33" t="e">
        <f t="shared" si="45"/>
        <v>#REF!</v>
      </c>
      <c r="X103" s="33" t="e">
        <f t="shared" si="46"/>
        <v>#REF!</v>
      </c>
      <c r="Y103" s="131" t="s">
        <v>198</v>
      </c>
      <c r="Z103" s="35"/>
    </row>
    <row r="104" spans="1:26" x14ac:dyDescent="0.25">
      <c r="A104" s="127" t="s">
        <v>48</v>
      </c>
      <c r="B104" s="126" t="s">
        <v>229</v>
      </c>
      <c r="C104" s="29" t="e">
        <f>#REF!</f>
        <v>#REF!</v>
      </c>
      <c r="D104" s="29" t="e">
        <f>#REF!</f>
        <v>#REF!</v>
      </c>
      <c r="E104" s="29" t="e">
        <f>#REF!</f>
        <v>#REF!</v>
      </c>
      <c r="F104" s="29" t="e">
        <f>#REF!</f>
        <v>#REF!</v>
      </c>
      <c r="G104" s="29" t="e">
        <f>#REF!</f>
        <v>#REF!</v>
      </c>
      <c r="H104" s="29" t="e">
        <f>#REF!</f>
        <v>#REF!</v>
      </c>
      <c r="I104" s="29" t="e">
        <f>#REF!</f>
        <v>#REF!</v>
      </c>
      <c r="J104" s="29" t="e">
        <f>#REF!</f>
        <v>#REF!</v>
      </c>
      <c r="K104" s="29" t="e">
        <f>#REF!</f>
        <v>#REF!</v>
      </c>
      <c r="L104" s="29" t="e">
        <f>#REF!</f>
        <v>#REF!</v>
      </c>
      <c r="M104" s="135">
        <v>2500</v>
      </c>
      <c r="N104" s="135">
        <v>1</v>
      </c>
      <c r="O104" s="33" t="e">
        <f t="shared" si="52"/>
        <v>#REF!</v>
      </c>
      <c r="P104" s="33" t="e">
        <f t="shared" si="53"/>
        <v>#REF!</v>
      </c>
      <c r="Q104" s="33" t="e">
        <f t="shared" si="54"/>
        <v>#REF!</v>
      </c>
      <c r="R104" s="33" t="e">
        <f t="shared" si="55"/>
        <v>#REF!</v>
      </c>
      <c r="S104" s="33" t="e">
        <f t="shared" si="56"/>
        <v>#REF!</v>
      </c>
      <c r="T104" s="33" t="e">
        <f t="shared" si="42"/>
        <v>#REF!</v>
      </c>
      <c r="U104" s="33" t="e">
        <f t="shared" si="43"/>
        <v>#REF!</v>
      </c>
      <c r="V104" s="33" t="e">
        <f t="shared" si="44"/>
        <v>#REF!</v>
      </c>
      <c r="W104" s="33" t="e">
        <f t="shared" si="45"/>
        <v>#REF!</v>
      </c>
      <c r="X104" s="33" t="e">
        <f t="shared" si="46"/>
        <v>#REF!</v>
      </c>
      <c r="Y104" s="133" t="s">
        <v>85</v>
      </c>
      <c r="Z104" s="35"/>
    </row>
    <row r="105" spans="1:26" s="4" customFormat="1" ht="15" customHeight="1" x14ac:dyDescent="0.25">
      <c r="A105" s="165"/>
      <c r="B105" s="87"/>
      <c r="C105" s="29" t="e">
        <f>C99</f>
        <v>#REF!</v>
      </c>
      <c r="D105" s="29" t="e">
        <f t="shared" ref="D105:L105" si="58">D99</f>
        <v>#REF!</v>
      </c>
      <c r="E105" s="29" t="e">
        <f t="shared" si="58"/>
        <v>#REF!</v>
      </c>
      <c r="F105" s="29" t="e">
        <f t="shared" si="58"/>
        <v>#REF!</v>
      </c>
      <c r="G105" s="29" t="e">
        <f t="shared" si="58"/>
        <v>#REF!</v>
      </c>
      <c r="H105" s="29" t="e">
        <f t="shared" si="58"/>
        <v>#REF!</v>
      </c>
      <c r="I105" s="29" t="e">
        <f t="shared" si="58"/>
        <v>#REF!</v>
      </c>
      <c r="J105" s="29" t="e">
        <f t="shared" si="58"/>
        <v>#REF!</v>
      </c>
      <c r="K105" s="29" t="e">
        <f t="shared" si="58"/>
        <v>#REF!</v>
      </c>
      <c r="L105" s="29" t="e">
        <f t="shared" si="58"/>
        <v>#REF!</v>
      </c>
      <c r="M105" s="157"/>
      <c r="N105" s="157"/>
      <c r="O105" s="158"/>
      <c r="P105" s="158"/>
      <c r="Q105" s="158"/>
      <c r="R105" s="158"/>
      <c r="S105" s="158"/>
      <c r="T105" s="158"/>
      <c r="U105" s="158"/>
      <c r="V105" s="158"/>
      <c r="W105" s="158"/>
      <c r="X105" s="158"/>
      <c r="Y105" s="167"/>
      <c r="Z105" s="160"/>
    </row>
    <row r="106" spans="1:26" s="4" customFormat="1" ht="15" customHeight="1" x14ac:dyDescent="0.25">
      <c r="A106" s="165"/>
      <c r="B106" s="87"/>
      <c r="C106" s="29" t="e">
        <f>C100</f>
        <v>#REF!</v>
      </c>
      <c r="D106" s="29" t="e">
        <f t="shared" ref="D106:L106" si="59">D100</f>
        <v>#REF!</v>
      </c>
      <c r="E106" s="29" t="e">
        <f t="shared" si="59"/>
        <v>#REF!</v>
      </c>
      <c r="F106" s="29" t="e">
        <f t="shared" si="59"/>
        <v>#REF!</v>
      </c>
      <c r="G106" s="29" t="e">
        <f t="shared" si="59"/>
        <v>#REF!</v>
      </c>
      <c r="H106" s="29" t="e">
        <f t="shared" si="59"/>
        <v>#REF!</v>
      </c>
      <c r="I106" s="29" t="e">
        <f t="shared" si="59"/>
        <v>#REF!</v>
      </c>
      <c r="J106" s="29" t="e">
        <f t="shared" si="59"/>
        <v>#REF!</v>
      </c>
      <c r="K106" s="29" t="e">
        <f t="shared" si="59"/>
        <v>#REF!</v>
      </c>
      <c r="L106" s="29" t="e">
        <f t="shared" si="59"/>
        <v>#REF!</v>
      </c>
      <c r="M106" s="157"/>
      <c r="N106" s="157"/>
      <c r="O106" s="158"/>
      <c r="P106" s="158"/>
      <c r="Q106" s="158"/>
      <c r="R106" s="158"/>
      <c r="S106" s="158"/>
      <c r="T106" s="158"/>
      <c r="U106" s="158"/>
      <c r="V106" s="158"/>
      <c r="W106" s="158"/>
      <c r="X106" s="158"/>
      <c r="Y106" s="167"/>
      <c r="Z106" s="160"/>
    </row>
    <row r="107" spans="1:26" s="4" customFormat="1" ht="15" customHeight="1" x14ac:dyDescent="0.25">
      <c r="A107" s="165"/>
      <c r="B107" s="87"/>
      <c r="C107" s="29" t="e">
        <f>C101</f>
        <v>#REF!</v>
      </c>
      <c r="D107" s="29" t="e">
        <f t="shared" ref="D107:L107" si="60">D101</f>
        <v>#REF!</v>
      </c>
      <c r="E107" s="29" t="e">
        <f t="shared" si="60"/>
        <v>#REF!</v>
      </c>
      <c r="F107" s="29" t="e">
        <f t="shared" si="60"/>
        <v>#REF!</v>
      </c>
      <c r="G107" s="29" t="e">
        <f t="shared" si="60"/>
        <v>#REF!</v>
      </c>
      <c r="H107" s="29" t="e">
        <f t="shared" si="60"/>
        <v>#REF!</v>
      </c>
      <c r="I107" s="29" t="e">
        <f t="shared" si="60"/>
        <v>#REF!</v>
      </c>
      <c r="J107" s="29" t="e">
        <f t="shared" si="60"/>
        <v>#REF!</v>
      </c>
      <c r="K107" s="29" t="e">
        <f t="shared" si="60"/>
        <v>#REF!</v>
      </c>
      <c r="L107" s="29" t="e">
        <f t="shared" si="60"/>
        <v>#REF!</v>
      </c>
      <c r="M107" s="157"/>
      <c r="N107" s="157"/>
      <c r="O107" s="158"/>
      <c r="P107" s="158"/>
      <c r="Q107" s="158"/>
      <c r="R107" s="158"/>
      <c r="S107" s="158"/>
      <c r="T107" s="158"/>
      <c r="U107" s="158"/>
      <c r="V107" s="158"/>
      <c r="W107" s="158"/>
      <c r="X107" s="158"/>
      <c r="Y107" s="167"/>
      <c r="Z107" s="160"/>
    </row>
    <row r="108" spans="1:26" s="4" customFormat="1" x14ac:dyDescent="0.25">
      <c r="A108" s="165"/>
      <c r="B108" s="87"/>
      <c r="C108" s="29" t="e">
        <f>AVERAGE(C105:C107)</f>
        <v>#REF!</v>
      </c>
      <c r="D108" s="29" t="e">
        <f>AVERAGE(D105:D107)</f>
        <v>#REF!</v>
      </c>
      <c r="E108" s="29" t="e">
        <f t="shared" ref="E108:L108" si="61">AVERAGE(E105:E107)</f>
        <v>#REF!</v>
      </c>
      <c r="F108" s="29" t="e">
        <f t="shared" si="61"/>
        <v>#REF!</v>
      </c>
      <c r="G108" s="29" t="e">
        <f t="shared" si="61"/>
        <v>#REF!</v>
      </c>
      <c r="H108" s="29" t="e">
        <f t="shared" si="61"/>
        <v>#REF!</v>
      </c>
      <c r="I108" s="29" t="e">
        <f t="shared" si="61"/>
        <v>#REF!</v>
      </c>
      <c r="J108" s="29" t="e">
        <f t="shared" si="61"/>
        <v>#REF!</v>
      </c>
      <c r="K108" s="29" t="e">
        <f t="shared" si="61"/>
        <v>#REF!</v>
      </c>
      <c r="L108" s="29" t="e">
        <f t="shared" si="61"/>
        <v>#REF!</v>
      </c>
      <c r="M108" s="157"/>
      <c r="N108" s="157"/>
      <c r="O108" s="158"/>
      <c r="P108" s="158"/>
      <c r="Q108" s="158"/>
      <c r="R108" s="158"/>
      <c r="S108" s="158"/>
      <c r="T108" s="158"/>
      <c r="U108" s="158"/>
      <c r="V108" s="158"/>
      <c r="W108" s="158"/>
      <c r="X108" s="158"/>
      <c r="Y108" s="167"/>
      <c r="Z108" s="160"/>
    </row>
    <row r="109" spans="1:26" x14ac:dyDescent="0.25">
      <c r="A109" s="31" t="s">
        <v>49</v>
      </c>
      <c r="B109" s="88" t="s">
        <v>203</v>
      </c>
      <c r="C109" s="29" t="e">
        <f>#REF!</f>
        <v>#REF!</v>
      </c>
      <c r="D109" s="29" t="e">
        <f>#REF!</f>
        <v>#REF!</v>
      </c>
      <c r="E109" s="29" t="e">
        <f>#REF!</f>
        <v>#REF!</v>
      </c>
      <c r="F109" s="29" t="e">
        <f>#REF!</f>
        <v>#REF!</v>
      </c>
      <c r="G109" s="29" t="e">
        <f>#REF!</f>
        <v>#REF!</v>
      </c>
      <c r="H109" s="29" t="e">
        <f>#REF!</f>
        <v>#REF!</v>
      </c>
      <c r="I109" s="29" t="e">
        <f>#REF!</f>
        <v>#REF!</v>
      </c>
      <c r="J109" s="29" t="e">
        <f>#REF!</f>
        <v>#REF!</v>
      </c>
      <c r="K109" s="29" t="e">
        <f>#REF!</f>
        <v>#REF!</v>
      </c>
      <c r="L109" s="29" t="e">
        <f>#REF!</f>
        <v>#REF!</v>
      </c>
      <c r="M109" s="135">
        <v>2500</v>
      </c>
      <c r="N109" s="135">
        <v>1</v>
      </c>
      <c r="O109" s="33" t="e">
        <f t="shared" si="52"/>
        <v>#REF!</v>
      </c>
      <c r="P109" s="33" t="e">
        <f t="shared" si="53"/>
        <v>#REF!</v>
      </c>
      <c r="Q109" s="33" t="e">
        <f t="shared" si="54"/>
        <v>#REF!</v>
      </c>
      <c r="R109" s="33" t="e">
        <f t="shared" si="55"/>
        <v>#REF!</v>
      </c>
      <c r="S109" s="33" t="e">
        <f t="shared" si="56"/>
        <v>#REF!</v>
      </c>
      <c r="T109" s="33" t="e">
        <f t="shared" si="42"/>
        <v>#REF!</v>
      </c>
      <c r="U109" s="33" t="e">
        <f t="shared" si="43"/>
        <v>#REF!</v>
      </c>
      <c r="V109" s="33" t="e">
        <f t="shared" si="44"/>
        <v>#REF!</v>
      </c>
      <c r="W109" s="33" t="e">
        <f t="shared" si="45"/>
        <v>#REF!</v>
      </c>
      <c r="X109" s="33" t="e">
        <f t="shared" si="46"/>
        <v>#REF!</v>
      </c>
      <c r="Y109" s="130" t="s">
        <v>128</v>
      </c>
      <c r="Z109" s="35" t="s">
        <v>129</v>
      </c>
    </row>
    <row r="110" spans="1:26" x14ac:dyDescent="0.25">
      <c r="A110" s="85" t="s">
        <v>49</v>
      </c>
      <c r="B110" s="77" t="s">
        <v>199</v>
      </c>
      <c r="C110" s="29" t="e">
        <f>#REF!</f>
        <v>#REF!</v>
      </c>
      <c r="D110" s="29" t="e">
        <f>#REF!</f>
        <v>#REF!</v>
      </c>
      <c r="E110" s="29" t="e">
        <f>#REF!</f>
        <v>#REF!</v>
      </c>
      <c r="F110" s="29" t="e">
        <f>#REF!</f>
        <v>#REF!</v>
      </c>
      <c r="G110" s="29" t="e">
        <f>#REF!</f>
        <v>#REF!</v>
      </c>
      <c r="H110" s="29" t="e">
        <f>#REF!</f>
        <v>#REF!</v>
      </c>
      <c r="I110" s="29" t="e">
        <f>#REF!</f>
        <v>#REF!</v>
      </c>
      <c r="J110" s="29" t="e">
        <f>#REF!</f>
        <v>#REF!</v>
      </c>
      <c r="K110" s="29" t="e">
        <f>#REF!</f>
        <v>#REF!</v>
      </c>
      <c r="L110" s="29" t="e">
        <f>#REF!</f>
        <v>#REF!</v>
      </c>
      <c r="M110" s="135">
        <v>2500</v>
      </c>
      <c r="N110" s="135">
        <v>1</v>
      </c>
      <c r="O110" s="33" t="e">
        <f t="shared" si="52"/>
        <v>#REF!</v>
      </c>
      <c r="P110" s="33" t="e">
        <f t="shared" si="53"/>
        <v>#REF!</v>
      </c>
      <c r="Q110" s="33" t="e">
        <f t="shared" si="54"/>
        <v>#REF!</v>
      </c>
      <c r="R110" s="33" t="e">
        <f t="shared" si="55"/>
        <v>#REF!</v>
      </c>
      <c r="S110" s="33" t="e">
        <f t="shared" si="56"/>
        <v>#REF!</v>
      </c>
      <c r="T110" s="33" t="e">
        <f t="shared" si="42"/>
        <v>#REF!</v>
      </c>
      <c r="U110" s="33" t="e">
        <f t="shared" si="43"/>
        <v>#REF!</v>
      </c>
      <c r="V110" s="33" t="e">
        <f t="shared" si="44"/>
        <v>#REF!</v>
      </c>
      <c r="W110" s="33" t="e">
        <f t="shared" si="45"/>
        <v>#REF!</v>
      </c>
      <c r="X110" s="33" t="e">
        <f t="shared" si="46"/>
        <v>#REF!</v>
      </c>
      <c r="Y110" s="131" t="s">
        <v>198</v>
      </c>
      <c r="Z110" s="35"/>
    </row>
    <row r="111" spans="1:26" s="4" customFormat="1" x14ac:dyDescent="0.25">
      <c r="A111" s="165"/>
      <c r="B111" s="87"/>
      <c r="C111" s="29" t="e">
        <f>C110</f>
        <v>#REF!</v>
      </c>
      <c r="D111" s="29" t="e">
        <f t="shared" ref="D111:L111" si="62">D110</f>
        <v>#REF!</v>
      </c>
      <c r="E111" s="29" t="e">
        <f t="shared" si="62"/>
        <v>#REF!</v>
      </c>
      <c r="F111" s="29" t="e">
        <f t="shared" si="62"/>
        <v>#REF!</v>
      </c>
      <c r="G111" s="29" t="e">
        <f t="shared" si="62"/>
        <v>#REF!</v>
      </c>
      <c r="H111" s="29" t="e">
        <f t="shared" si="62"/>
        <v>#REF!</v>
      </c>
      <c r="I111" s="29" t="e">
        <f t="shared" si="62"/>
        <v>#REF!</v>
      </c>
      <c r="J111" s="29" t="e">
        <f t="shared" si="62"/>
        <v>#REF!</v>
      </c>
      <c r="K111" s="29" t="e">
        <f t="shared" si="62"/>
        <v>#REF!</v>
      </c>
      <c r="L111" s="29" t="e">
        <f t="shared" si="62"/>
        <v>#REF!</v>
      </c>
      <c r="M111" s="157"/>
      <c r="N111" s="157"/>
      <c r="O111" s="158"/>
      <c r="P111" s="158"/>
      <c r="Q111" s="158"/>
      <c r="R111" s="158"/>
      <c r="S111" s="158"/>
      <c r="T111" s="158"/>
      <c r="U111" s="158"/>
      <c r="V111" s="158"/>
      <c r="W111" s="158"/>
      <c r="X111" s="158"/>
      <c r="Y111" s="159"/>
      <c r="Z111" s="160"/>
    </row>
    <row r="112" spans="1:26" x14ac:dyDescent="0.25">
      <c r="A112" s="161" t="s">
        <v>50</v>
      </c>
      <c r="B112" s="162"/>
      <c r="C112" s="29" t="e">
        <f>#REF!</f>
        <v>#REF!</v>
      </c>
      <c r="D112" s="29" t="e">
        <f>#REF!</f>
        <v>#REF!</v>
      </c>
      <c r="E112" s="29" t="e">
        <f>#REF!</f>
        <v>#REF!</v>
      </c>
      <c r="F112" s="29" t="e">
        <f>#REF!</f>
        <v>#REF!</v>
      </c>
      <c r="G112" s="29" t="e">
        <f>#REF!</f>
        <v>#REF!</v>
      </c>
      <c r="H112" s="29" t="e">
        <f>#REF!</f>
        <v>#REF!</v>
      </c>
      <c r="I112" s="29" t="e">
        <f>#REF!</f>
        <v>#REF!</v>
      </c>
      <c r="J112" s="29" t="e">
        <f>#REF!</f>
        <v>#REF!</v>
      </c>
      <c r="K112" s="29" t="e">
        <f>#REF!</f>
        <v>#REF!</v>
      </c>
      <c r="L112" s="29" t="e">
        <f>#REF!</f>
        <v>#REF!</v>
      </c>
      <c r="M112" s="135">
        <v>2500</v>
      </c>
      <c r="N112" s="135">
        <v>1</v>
      </c>
      <c r="O112" s="33" t="e">
        <f t="shared" si="52"/>
        <v>#REF!</v>
      </c>
      <c r="P112" s="33" t="e">
        <f t="shared" si="53"/>
        <v>#REF!</v>
      </c>
      <c r="Q112" s="33" t="e">
        <f t="shared" si="54"/>
        <v>#REF!</v>
      </c>
      <c r="R112" s="33" t="e">
        <f t="shared" si="55"/>
        <v>#REF!</v>
      </c>
      <c r="S112" s="33" t="e">
        <f t="shared" si="56"/>
        <v>#REF!</v>
      </c>
      <c r="T112" s="33" t="e">
        <f t="shared" si="42"/>
        <v>#REF!</v>
      </c>
      <c r="U112" s="33" t="e">
        <f t="shared" si="43"/>
        <v>#REF!</v>
      </c>
      <c r="V112" s="33" t="e">
        <f t="shared" si="44"/>
        <v>#REF!</v>
      </c>
      <c r="W112" s="33" t="e">
        <f t="shared" si="45"/>
        <v>#REF!</v>
      </c>
      <c r="X112" s="33" t="e">
        <f t="shared" si="46"/>
        <v>#REF!</v>
      </c>
      <c r="Y112" s="132"/>
      <c r="Z112" s="35"/>
    </row>
    <row r="113" spans="1:26" x14ac:dyDescent="0.25">
      <c r="A113" s="161" t="s">
        <v>51</v>
      </c>
      <c r="B113" s="162"/>
      <c r="C113" s="29" t="e">
        <f>#REF!</f>
        <v>#REF!</v>
      </c>
      <c r="D113" s="29" t="e">
        <f>#REF!</f>
        <v>#REF!</v>
      </c>
      <c r="E113" s="29" t="e">
        <f>#REF!</f>
        <v>#REF!</v>
      </c>
      <c r="F113" s="29" t="e">
        <f>#REF!</f>
        <v>#REF!</v>
      </c>
      <c r="G113" s="29" t="e">
        <f>#REF!</f>
        <v>#REF!</v>
      </c>
      <c r="H113" s="29" t="e">
        <f>#REF!</f>
        <v>#REF!</v>
      </c>
      <c r="I113" s="29" t="e">
        <f>#REF!</f>
        <v>#REF!</v>
      </c>
      <c r="J113" s="29" t="e">
        <f>#REF!</f>
        <v>#REF!</v>
      </c>
      <c r="K113" s="29" t="e">
        <f>#REF!</f>
        <v>#REF!</v>
      </c>
      <c r="L113" s="29" t="e">
        <f>#REF!</f>
        <v>#REF!</v>
      </c>
      <c r="M113" s="135">
        <v>2500</v>
      </c>
      <c r="N113" s="135">
        <v>1</v>
      </c>
      <c r="O113" s="33" t="e">
        <f t="shared" si="52"/>
        <v>#REF!</v>
      </c>
      <c r="P113" s="33" t="e">
        <f t="shared" si="53"/>
        <v>#REF!</v>
      </c>
      <c r="Q113" s="33" t="e">
        <f t="shared" si="54"/>
        <v>#REF!</v>
      </c>
      <c r="R113" s="33" t="e">
        <f t="shared" si="55"/>
        <v>#REF!</v>
      </c>
      <c r="S113" s="33" t="e">
        <f t="shared" si="56"/>
        <v>#REF!</v>
      </c>
      <c r="T113" s="33" t="e">
        <f t="shared" si="42"/>
        <v>#REF!</v>
      </c>
      <c r="U113" s="33" t="e">
        <f t="shared" si="43"/>
        <v>#REF!</v>
      </c>
      <c r="V113" s="33" t="e">
        <f t="shared" si="44"/>
        <v>#REF!</v>
      </c>
      <c r="W113" s="33" t="e">
        <f t="shared" si="45"/>
        <v>#REF!</v>
      </c>
      <c r="X113" s="33" t="e">
        <f t="shared" si="46"/>
        <v>#REF!</v>
      </c>
      <c r="Y113" s="132"/>
      <c r="Z113" s="35"/>
    </row>
    <row r="114" spans="1:26" x14ac:dyDescent="0.25">
      <c r="A114" s="84" t="s">
        <v>108</v>
      </c>
      <c r="B114" s="77" t="s">
        <v>199</v>
      </c>
      <c r="C114" s="29" t="e">
        <f>#REF!</f>
        <v>#REF!</v>
      </c>
      <c r="D114" s="29" t="e">
        <f>#REF!</f>
        <v>#REF!</v>
      </c>
      <c r="E114" s="29" t="e">
        <f>#REF!</f>
        <v>#REF!</v>
      </c>
      <c r="F114" s="29" t="e">
        <f>#REF!</f>
        <v>#REF!</v>
      </c>
      <c r="G114" s="29" t="e">
        <f>#REF!</f>
        <v>#REF!</v>
      </c>
      <c r="H114" s="29" t="e">
        <f>#REF!</f>
        <v>#REF!</v>
      </c>
      <c r="I114" s="29" t="e">
        <f>#REF!</f>
        <v>#REF!</v>
      </c>
      <c r="J114" s="29" t="e">
        <f>#REF!</f>
        <v>#REF!</v>
      </c>
      <c r="K114" s="29" t="e">
        <f>#REF!</f>
        <v>#REF!</v>
      </c>
      <c r="L114" s="29" t="e">
        <f>#REF!</f>
        <v>#REF!</v>
      </c>
      <c r="M114" s="135">
        <v>2500</v>
      </c>
      <c r="N114" s="135">
        <v>1</v>
      </c>
      <c r="O114" s="33" t="e">
        <f t="shared" si="52"/>
        <v>#REF!</v>
      </c>
      <c r="P114" s="33" t="e">
        <f t="shared" si="53"/>
        <v>#REF!</v>
      </c>
      <c r="Q114" s="33" t="e">
        <f t="shared" si="54"/>
        <v>#REF!</v>
      </c>
      <c r="R114" s="33" t="e">
        <f t="shared" si="55"/>
        <v>#REF!</v>
      </c>
      <c r="S114" s="33" t="e">
        <f t="shared" si="56"/>
        <v>#REF!</v>
      </c>
      <c r="T114" s="33" t="e">
        <f t="shared" si="42"/>
        <v>#REF!</v>
      </c>
      <c r="U114" s="33" t="e">
        <f t="shared" si="43"/>
        <v>#REF!</v>
      </c>
      <c r="V114" s="33" t="e">
        <f t="shared" si="44"/>
        <v>#REF!</v>
      </c>
      <c r="W114" s="33" t="e">
        <f t="shared" si="45"/>
        <v>#REF!</v>
      </c>
      <c r="X114" s="33" t="e">
        <f t="shared" si="46"/>
        <v>#REF!</v>
      </c>
      <c r="Y114" s="131" t="s">
        <v>198</v>
      </c>
      <c r="Z114" s="35"/>
    </row>
    <row r="115" spans="1:26" x14ac:dyDescent="0.25">
      <c r="A115" s="31" t="s">
        <v>52</v>
      </c>
      <c r="B115" s="88" t="s">
        <v>203</v>
      </c>
      <c r="C115" s="29" t="e">
        <f>#REF!</f>
        <v>#REF!</v>
      </c>
      <c r="D115" s="29" t="e">
        <f>#REF!</f>
        <v>#REF!</v>
      </c>
      <c r="E115" s="29" t="e">
        <f>#REF!</f>
        <v>#REF!</v>
      </c>
      <c r="F115" s="29" t="e">
        <f>#REF!</f>
        <v>#REF!</v>
      </c>
      <c r="G115" s="29" t="e">
        <f>#REF!</f>
        <v>#REF!</v>
      </c>
      <c r="H115" s="29" t="e">
        <f>#REF!</f>
        <v>#REF!</v>
      </c>
      <c r="I115" s="29" t="e">
        <f>#REF!</f>
        <v>#REF!</v>
      </c>
      <c r="J115" s="29" t="e">
        <f>#REF!</f>
        <v>#REF!</v>
      </c>
      <c r="K115" s="29" t="e">
        <f>#REF!</f>
        <v>#REF!</v>
      </c>
      <c r="L115" s="29" t="e">
        <f>#REF!</f>
        <v>#REF!</v>
      </c>
      <c r="M115" s="135">
        <v>2500</v>
      </c>
      <c r="N115" s="135">
        <v>1</v>
      </c>
      <c r="O115" s="33" t="e">
        <f t="shared" si="52"/>
        <v>#REF!</v>
      </c>
      <c r="P115" s="33" t="e">
        <f t="shared" si="53"/>
        <v>#REF!</v>
      </c>
      <c r="Q115" s="33" t="e">
        <f t="shared" si="54"/>
        <v>#REF!</v>
      </c>
      <c r="R115" s="33" t="e">
        <f t="shared" si="55"/>
        <v>#REF!</v>
      </c>
      <c r="S115" s="33" t="e">
        <f t="shared" si="56"/>
        <v>#REF!</v>
      </c>
      <c r="T115" s="33" t="e">
        <f t="shared" si="42"/>
        <v>#REF!</v>
      </c>
      <c r="U115" s="33" t="e">
        <f t="shared" si="43"/>
        <v>#REF!</v>
      </c>
      <c r="V115" s="33" t="e">
        <f t="shared" si="44"/>
        <v>#REF!</v>
      </c>
      <c r="W115" s="33" t="e">
        <f t="shared" si="45"/>
        <v>#REF!</v>
      </c>
      <c r="X115" s="33" t="e">
        <f t="shared" si="46"/>
        <v>#REF!</v>
      </c>
      <c r="Y115" s="130" t="s">
        <v>128</v>
      </c>
      <c r="Z115" s="35"/>
    </row>
    <row r="116" spans="1:26" x14ac:dyDescent="0.25">
      <c r="A116" s="85" t="s">
        <v>52</v>
      </c>
      <c r="B116" s="77" t="s">
        <v>199</v>
      </c>
      <c r="C116" s="29" t="e">
        <f>#REF!</f>
        <v>#REF!</v>
      </c>
      <c r="D116" s="29" t="e">
        <f>#REF!</f>
        <v>#REF!</v>
      </c>
      <c r="E116" s="29" t="e">
        <f>#REF!</f>
        <v>#REF!</v>
      </c>
      <c r="F116" s="29" t="e">
        <f>#REF!</f>
        <v>#REF!</v>
      </c>
      <c r="G116" s="29" t="e">
        <f>#REF!</f>
        <v>#REF!</v>
      </c>
      <c r="H116" s="29" t="e">
        <f>#REF!</f>
        <v>#REF!</v>
      </c>
      <c r="I116" s="29" t="e">
        <f>#REF!</f>
        <v>#REF!</v>
      </c>
      <c r="J116" s="29" t="e">
        <f>#REF!</f>
        <v>#REF!</v>
      </c>
      <c r="K116" s="29" t="e">
        <f>#REF!</f>
        <v>#REF!</v>
      </c>
      <c r="L116" s="29" t="e">
        <f>#REF!</f>
        <v>#REF!</v>
      </c>
      <c r="M116" s="135">
        <v>2500</v>
      </c>
      <c r="N116" s="135">
        <v>1</v>
      </c>
      <c r="O116" s="33" t="e">
        <f t="shared" si="52"/>
        <v>#REF!</v>
      </c>
      <c r="P116" s="33" t="e">
        <f t="shared" si="53"/>
        <v>#REF!</v>
      </c>
      <c r="Q116" s="33" t="e">
        <f t="shared" si="54"/>
        <v>#REF!</v>
      </c>
      <c r="R116" s="33" t="e">
        <f t="shared" si="55"/>
        <v>#REF!</v>
      </c>
      <c r="S116" s="33" t="e">
        <f t="shared" si="56"/>
        <v>#REF!</v>
      </c>
      <c r="T116" s="33" t="e">
        <f t="shared" si="42"/>
        <v>#REF!</v>
      </c>
      <c r="U116" s="33" t="e">
        <f t="shared" si="43"/>
        <v>#REF!</v>
      </c>
      <c r="V116" s="33" t="e">
        <f t="shared" si="44"/>
        <v>#REF!</v>
      </c>
      <c r="W116" s="33" t="e">
        <f t="shared" si="45"/>
        <v>#REF!</v>
      </c>
      <c r="X116" s="33" t="e">
        <f t="shared" si="46"/>
        <v>#REF!</v>
      </c>
      <c r="Y116" s="131" t="s">
        <v>198</v>
      </c>
      <c r="Z116" s="35"/>
    </row>
    <row r="117" spans="1:26" s="4" customFormat="1" x14ac:dyDescent="0.25">
      <c r="A117" s="165"/>
      <c r="B117" s="87"/>
      <c r="C117" s="29" t="e">
        <f>C116</f>
        <v>#REF!</v>
      </c>
      <c r="D117" s="29" t="e">
        <f t="shared" ref="D117:L117" si="63">D116</f>
        <v>#REF!</v>
      </c>
      <c r="E117" s="29" t="e">
        <f t="shared" si="63"/>
        <v>#REF!</v>
      </c>
      <c r="F117" s="29" t="e">
        <f t="shared" si="63"/>
        <v>#REF!</v>
      </c>
      <c r="G117" s="29" t="e">
        <f t="shared" si="63"/>
        <v>#REF!</v>
      </c>
      <c r="H117" s="29" t="e">
        <f t="shared" si="63"/>
        <v>#REF!</v>
      </c>
      <c r="I117" s="29" t="e">
        <f t="shared" si="63"/>
        <v>#REF!</v>
      </c>
      <c r="J117" s="29" t="e">
        <f t="shared" si="63"/>
        <v>#REF!</v>
      </c>
      <c r="K117" s="29" t="e">
        <f t="shared" si="63"/>
        <v>#REF!</v>
      </c>
      <c r="L117" s="29" t="e">
        <f t="shared" si="63"/>
        <v>#REF!</v>
      </c>
      <c r="M117" s="157"/>
      <c r="N117" s="157"/>
      <c r="O117" s="158"/>
      <c r="P117" s="158"/>
      <c r="Q117" s="158"/>
      <c r="R117" s="158"/>
      <c r="S117" s="158"/>
      <c r="T117" s="158"/>
      <c r="U117" s="158"/>
      <c r="V117" s="158"/>
      <c r="W117" s="158"/>
      <c r="X117" s="158"/>
      <c r="Y117" s="159"/>
      <c r="Z117" s="160"/>
    </row>
    <row r="118" spans="1:26" x14ac:dyDescent="0.25">
      <c r="A118" s="84" t="s">
        <v>194</v>
      </c>
      <c r="B118" s="77" t="s">
        <v>199</v>
      </c>
      <c r="C118" s="29" t="e">
        <f>#REF!</f>
        <v>#REF!</v>
      </c>
      <c r="D118" s="29" t="e">
        <f>#REF!</f>
        <v>#REF!</v>
      </c>
      <c r="E118" s="29" t="e">
        <f>#REF!</f>
        <v>#REF!</v>
      </c>
      <c r="F118" s="29" t="e">
        <f>#REF!</f>
        <v>#REF!</v>
      </c>
      <c r="G118" s="29" t="e">
        <f>#REF!</f>
        <v>#REF!</v>
      </c>
      <c r="H118" s="29" t="e">
        <f>#REF!</f>
        <v>#REF!</v>
      </c>
      <c r="I118" s="29" t="e">
        <f>#REF!</f>
        <v>#REF!</v>
      </c>
      <c r="J118" s="29" t="e">
        <f>#REF!</f>
        <v>#REF!</v>
      </c>
      <c r="K118" s="29" t="e">
        <f>#REF!</f>
        <v>#REF!</v>
      </c>
      <c r="L118" s="29" t="e">
        <f>#REF!</f>
        <v>#REF!</v>
      </c>
      <c r="M118" s="135">
        <v>2500</v>
      </c>
      <c r="N118" s="135">
        <v>1</v>
      </c>
      <c r="O118" s="33" t="e">
        <f t="shared" si="52"/>
        <v>#REF!</v>
      </c>
      <c r="P118" s="33" t="e">
        <f t="shared" si="53"/>
        <v>#REF!</v>
      </c>
      <c r="Q118" s="33" t="e">
        <f t="shared" si="54"/>
        <v>#REF!</v>
      </c>
      <c r="R118" s="33" t="e">
        <f t="shared" si="55"/>
        <v>#REF!</v>
      </c>
      <c r="S118" s="33" t="e">
        <f t="shared" si="56"/>
        <v>#REF!</v>
      </c>
      <c r="T118" s="33" t="e">
        <f t="shared" si="42"/>
        <v>#REF!</v>
      </c>
      <c r="U118" s="33" t="e">
        <f t="shared" si="43"/>
        <v>#REF!</v>
      </c>
      <c r="V118" s="33" t="e">
        <f t="shared" si="44"/>
        <v>#REF!</v>
      </c>
      <c r="W118" s="33" t="e">
        <f t="shared" si="45"/>
        <v>#REF!</v>
      </c>
      <c r="X118" s="33" t="e">
        <f t="shared" si="46"/>
        <v>#REF!</v>
      </c>
      <c r="Y118" s="131" t="s">
        <v>198</v>
      </c>
      <c r="Z118" s="35"/>
    </row>
    <row r="119" spans="1:26" x14ac:dyDescent="0.25">
      <c r="A119" s="161" t="s">
        <v>53</v>
      </c>
      <c r="B119" s="162"/>
      <c r="C119" s="29" t="e">
        <f>#REF!</f>
        <v>#REF!</v>
      </c>
      <c r="D119" s="29" t="e">
        <f>#REF!</f>
        <v>#REF!</v>
      </c>
      <c r="E119" s="29" t="e">
        <f>#REF!</f>
        <v>#REF!</v>
      </c>
      <c r="F119" s="29" t="e">
        <f>#REF!</f>
        <v>#REF!</v>
      </c>
      <c r="G119" s="29" t="e">
        <f>#REF!</f>
        <v>#REF!</v>
      </c>
      <c r="H119" s="29" t="e">
        <f>#REF!</f>
        <v>#REF!</v>
      </c>
      <c r="I119" s="29" t="e">
        <f>#REF!</f>
        <v>#REF!</v>
      </c>
      <c r="J119" s="29" t="e">
        <f>#REF!</f>
        <v>#REF!</v>
      </c>
      <c r="K119" s="29" t="e">
        <f>#REF!</f>
        <v>#REF!</v>
      </c>
      <c r="L119" s="29" t="e">
        <f>#REF!</f>
        <v>#REF!</v>
      </c>
      <c r="M119" s="135">
        <v>2500</v>
      </c>
      <c r="N119" s="135">
        <v>1</v>
      </c>
      <c r="O119" s="33" t="e">
        <f t="shared" si="52"/>
        <v>#REF!</v>
      </c>
      <c r="P119" s="33" t="e">
        <f t="shared" si="53"/>
        <v>#REF!</v>
      </c>
      <c r="Q119" s="33" t="e">
        <f t="shared" si="54"/>
        <v>#REF!</v>
      </c>
      <c r="R119" s="33" t="e">
        <f t="shared" si="55"/>
        <v>#REF!</v>
      </c>
      <c r="S119" s="33" t="e">
        <f t="shared" si="56"/>
        <v>#REF!</v>
      </c>
      <c r="T119" s="33" t="e">
        <f t="shared" si="42"/>
        <v>#REF!</v>
      </c>
      <c r="U119" s="33" t="e">
        <f t="shared" si="43"/>
        <v>#REF!</v>
      </c>
      <c r="V119" s="33" t="e">
        <f t="shared" si="44"/>
        <v>#REF!</v>
      </c>
      <c r="W119" s="33" t="e">
        <f t="shared" si="45"/>
        <v>#REF!</v>
      </c>
      <c r="X119" s="33" t="e">
        <f t="shared" si="46"/>
        <v>#REF!</v>
      </c>
      <c r="Y119" s="132"/>
      <c r="Z119" s="35"/>
    </row>
    <row r="120" spans="1:26" x14ac:dyDescent="0.25">
      <c r="A120" s="84" t="s">
        <v>54</v>
      </c>
      <c r="B120" s="77" t="s">
        <v>199</v>
      </c>
      <c r="C120" s="29" t="e">
        <f>#REF!</f>
        <v>#REF!</v>
      </c>
      <c r="D120" s="29" t="e">
        <f>#REF!</f>
        <v>#REF!</v>
      </c>
      <c r="E120" s="29" t="e">
        <f>#REF!</f>
        <v>#REF!</v>
      </c>
      <c r="F120" s="29" t="e">
        <f>#REF!</f>
        <v>#REF!</v>
      </c>
      <c r="G120" s="29" t="e">
        <f>#REF!</f>
        <v>#REF!</v>
      </c>
      <c r="H120" s="29" t="e">
        <f>#REF!</f>
        <v>#REF!</v>
      </c>
      <c r="I120" s="29" t="e">
        <f>#REF!</f>
        <v>#REF!</v>
      </c>
      <c r="J120" s="29" t="e">
        <f>#REF!</f>
        <v>#REF!</v>
      </c>
      <c r="K120" s="29" t="e">
        <f>#REF!</f>
        <v>#REF!</v>
      </c>
      <c r="L120" s="29" t="e">
        <f>#REF!</f>
        <v>#REF!</v>
      </c>
      <c r="M120" s="135">
        <v>2500</v>
      </c>
      <c r="N120" s="135">
        <v>1</v>
      </c>
      <c r="O120" s="33" t="e">
        <f t="shared" si="52"/>
        <v>#REF!</v>
      </c>
      <c r="P120" s="33" t="e">
        <f t="shared" si="53"/>
        <v>#REF!</v>
      </c>
      <c r="Q120" s="33" t="e">
        <f t="shared" si="54"/>
        <v>#REF!</v>
      </c>
      <c r="R120" s="33" t="e">
        <f t="shared" si="55"/>
        <v>#REF!</v>
      </c>
      <c r="S120" s="33" t="e">
        <f t="shared" si="56"/>
        <v>#REF!</v>
      </c>
      <c r="T120" s="33" t="e">
        <f t="shared" si="42"/>
        <v>#REF!</v>
      </c>
      <c r="U120" s="33" t="e">
        <f t="shared" si="43"/>
        <v>#REF!</v>
      </c>
      <c r="V120" s="33" t="e">
        <f t="shared" si="44"/>
        <v>#REF!</v>
      </c>
      <c r="W120" s="33" t="e">
        <f t="shared" si="45"/>
        <v>#REF!</v>
      </c>
      <c r="X120" s="33" t="e">
        <f t="shared" si="46"/>
        <v>#REF!</v>
      </c>
      <c r="Y120" s="131" t="s">
        <v>198</v>
      </c>
      <c r="Z120" s="35"/>
    </row>
    <row r="121" spans="1:26" x14ac:dyDescent="0.25">
      <c r="A121" s="84" t="s">
        <v>195</v>
      </c>
      <c r="B121" s="77" t="s">
        <v>199</v>
      </c>
      <c r="C121" s="29" t="e">
        <f>#REF!</f>
        <v>#REF!</v>
      </c>
      <c r="D121" s="29" t="e">
        <f>#REF!</f>
        <v>#REF!</v>
      </c>
      <c r="E121" s="29" t="e">
        <f>#REF!</f>
        <v>#REF!</v>
      </c>
      <c r="F121" s="29" t="e">
        <f>#REF!</f>
        <v>#REF!</v>
      </c>
      <c r="G121" s="29" t="e">
        <f>#REF!</f>
        <v>#REF!</v>
      </c>
      <c r="H121" s="29" t="e">
        <f>#REF!</f>
        <v>#REF!</v>
      </c>
      <c r="I121" s="29" t="e">
        <f>#REF!</f>
        <v>#REF!</v>
      </c>
      <c r="J121" s="29" t="e">
        <f>#REF!</f>
        <v>#REF!</v>
      </c>
      <c r="K121" s="29" t="e">
        <f>#REF!</f>
        <v>#REF!</v>
      </c>
      <c r="L121" s="29" t="e">
        <f>#REF!</f>
        <v>#REF!</v>
      </c>
      <c r="M121" s="135">
        <v>2500</v>
      </c>
      <c r="N121" s="135">
        <v>1</v>
      </c>
      <c r="O121" s="33" t="e">
        <f t="shared" si="52"/>
        <v>#REF!</v>
      </c>
      <c r="P121" s="33" t="e">
        <f t="shared" si="53"/>
        <v>#REF!</v>
      </c>
      <c r="Q121" s="33" t="e">
        <f t="shared" si="54"/>
        <v>#REF!</v>
      </c>
      <c r="R121" s="33" t="e">
        <f t="shared" si="55"/>
        <v>#REF!</v>
      </c>
      <c r="S121" s="33" t="e">
        <f t="shared" si="56"/>
        <v>#REF!</v>
      </c>
      <c r="T121" s="33" t="e">
        <f t="shared" si="42"/>
        <v>#REF!</v>
      </c>
      <c r="U121" s="33" t="e">
        <f t="shared" si="43"/>
        <v>#REF!</v>
      </c>
      <c r="V121" s="33" t="e">
        <f t="shared" si="44"/>
        <v>#REF!</v>
      </c>
      <c r="W121" s="33" t="e">
        <f t="shared" si="45"/>
        <v>#REF!</v>
      </c>
      <c r="X121" s="33" t="e">
        <f t="shared" si="46"/>
        <v>#REF!</v>
      </c>
      <c r="Y121" s="131" t="s">
        <v>198</v>
      </c>
      <c r="Z121" s="35"/>
    </row>
    <row r="122" spans="1:26" x14ac:dyDescent="0.25">
      <c r="A122" s="161" t="s">
        <v>55</v>
      </c>
      <c r="B122" s="162"/>
      <c r="C122" s="29" t="e">
        <f>#REF!</f>
        <v>#REF!</v>
      </c>
      <c r="D122" s="29" t="e">
        <f>#REF!</f>
        <v>#REF!</v>
      </c>
      <c r="E122" s="29" t="e">
        <f>#REF!</f>
        <v>#REF!</v>
      </c>
      <c r="F122" s="29" t="e">
        <f>#REF!</f>
        <v>#REF!</v>
      </c>
      <c r="G122" s="29" t="e">
        <f>#REF!</f>
        <v>#REF!</v>
      </c>
      <c r="H122" s="29" t="e">
        <f>#REF!</f>
        <v>#REF!</v>
      </c>
      <c r="I122" s="29" t="e">
        <f>#REF!</f>
        <v>#REF!</v>
      </c>
      <c r="J122" s="29" t="e">
        <f>#REF!</f>
        <v>#REF!</v>
      </c>
      <c r="K122" s="29" t="e">
        <f>#REF!</f>
        <v>#REF!</v>
      </c>
      <c r="L122" s="29" t="e">
        <f>#REF!</f>
        <v>#REF!</v>
      </c>
      <c r="M122" s="135">
        <v>2500</v>
      </c>
      <c r="N122" s="135">
        <v>1</v>
      </c>
      <c r="O122" s="33" t="e">
        <f t="shared" si="52"/>
        <v>#REF!</v>
      </c>
      <c r="P122" s="33" t="e">
        <f t="shared" si="53"/>
        <v>#REF!</v>
      </c>
      <c r="Q122" s="33" t="e">
        <f t="shared" si="54"/>
        <v>#REF!</v>
      </c>
      <c r="R122" s="33" t="e">
        <f t="shared" si="55"/>
        <v>#REF!</v>
      </c>
      <c r="S122" s="33" t="e">
        <f t="shared" si="56"/>
        <v>#REF!</v>
      </c>
      <c r="T122" s="33" t="e">
        <f t="shared" si="42"/>
        <v>#REF!</v>
      </c>
      <c r="U122" s="33" t="e">
        <f t="shared" si="43"/>
        <v>#REF!</v>
      </c>
      <c r="V122" s="33" t="e">
        <f t="shared" si="44"/>
        <v>#REF!</v>
      </c>
      <c r="W122" s="33" t="e">
        <f t="shared" si="45"/>
        <v>#REF!</v>
      </c>
      <c r="X122" s="33" t="e">
        <f t="shared" si="46"/>
        <v>#REF!</v>
      </c>
      <c r="Y122" s="132"/>
      <c r="Z122" s="35"/>
    </row>
    <row r="123" spans="1:26" x14ac:dyDescent="0.25">
      <c r="A123" s="84" t="s">
        <v>165</v>
      </c>
      <c r="B123" s="77" t="s">
        <v>199</v>
      </c>
      <c r="C123" s="29" t="e">
        <f>#REF!</f>
        <v>#REF!</v>
      </c>
      <c r="D123" s="29" t="e">
        <f>#REF!</f>
        <v>#REF!</v>
      </c>
      <c r="E123" s="29" t="e">
        <f>#REF!</f>
        <v>#REF!</v>
      </c>
      <c r="F123" s="29" t="e">
        <f>#REF!</f>
        <v>#REF!</v>
      </c>
      <c r="G123" s="29" t="e">
        <f>#REF!</f>
        <v>#REF!</v>
      </c>
      <c r="H123" s="29" t="e">
        <f>#REF!</f>
        <v>#REF!</v>
      </c>
      <c r="I123" s="29" t="e">
        <f>#REF!</f>
        <v>#REF!</v>
      </c>
      <c r="J123" s="29" t="e">
        <f>#REF!</f>
        <v>#REF!</v>
      </c>
      <c r="K123" s="29" t="e">
        <f>#REF!</f>
        <v>#REF!</v>
      </c>
      <c r="L123" s="29" t="e">
        <f>#REF!</f>
        <v>#REF!</v>
      </c>
      <c r="M123" s="135">
        <v>2500</v>
      </c>
      <c r="N123" s="135">
        <v>1</v>
      </c>
      <c r="O123" s="33" t="e">
        <f t="shared" si="52"/>
        <v>#REF!</v>
      </c>
      <c r="P123" s="33" t="e">
        <f t="shared" si="53"/>
        <v>#REF!</v>
      </c>
      <c r="Q123" s="33" t="e">
        <f t="shared" si="54"/>
        <v>#REF!</v>
      </c>
      <c r="R123" s="33" t="e">
        <f t="shared" si="55"/>
        <v>#REF!</v>
      </c>
      <c r="S123" s="33" t="e">
        <f t="shared" si="56"/>
        <v>#REF!</v>
      </c>
      <c r="T123" s="33" t="e">
        <f t="shared" si="42"/>
        <v>#REF!</v>
      </c>
      <c r="U123" s="33" t="e">
        <f t="shared" si="43"/>
        <v>#REF!</v>
      </c>
      <c r="V123" s="33" t="e">
        <f t="shared" si="44"/>
        <v>#REF!</v>
      </c>
      <c r="W123" s="33" t="e">
        <f t="shared" si="45"/>
        <v>#REF!</v>
      </c>
      <c r="X123" s="33" t="e">
        <f t="shared" si="46"/>
        <v>#REF!</v>
      </c>
      <c r="Y123" s="131" t="s">
        <v>198</v>
      </c>
      <c r="Z123" s="35"/>
    </row>
    <row r="124" spans="1:26" x14ac:dyDescent="0.25">
      <c r="A124" s="31" t="s">
        <v>57</v>
      </c>
      <c r="B124" s="88" t="s">
        <v>203</v>
      </c>
      <c r="C124" s="29" t="e">
        <f>#REF!</f>
        <v>#REF!</v>
      </c>
      <c r="D124" s="29" t="e">
        <f>#REF!</f>
        <v>#REF!</v>
      </c>
      <c r="E124" s="29" t="e">
        <f>#REF!</f>
        <v>#REF!</v>
      </c>
      <c r="F124" s="29" t="e">
        <f>#REF!</f>
        <v>#REF!</v>
      </c>
      <c r="G124" s="29" t="e">
        <f>#REF!</f>
        <v>#REF!</v>
      </c>
      <c r="H124" s="29" t="e">
        <f>#REF!</f>
        <v>#REF!</v>
      </c>
      <c r="I124" s="29" t="e">
        <f>#REF!</f>
        <v>#REF!</v>
      </c>
      <c r="J124" s="29" t="e">
        <f>#REF!</f>
        <v>#REF!</v>
      </c>
      <c r="K124" s="29" t="e">
        <f>#REF!</f>
        <v>#REF!</v>
      </c>
      <c r="L124" s="29" t="e">
        <f>#REF!</f>
        <v>#REF!</v>
      </c>
      <c r="M124" s="135">
        <v>2500</v>
      </c>
      <c r="N124" s="135">
        <v>1</v>
      </c>
      <c r="O124" s="33" t="e">
        <f t="shared" si="52"/>
        <v>#REF!</v>
      </c>
      <c r="P124" s="33" t="e">
        <f t="shared" si="53"/>
        <v>#REF!</v>
      </c>
      <c r="Q124" s="33" t="e">
        <f t="shared" si="54"/>
        <v>#REF!</v>
      </c>
      <c r="R124" s="33" t="e">
        <f t="shared" si="55"/>
        <v>#REF!</v>
      </c>
      <c r="S124" s="33" t="e">
        <f t="shared" si="56"/>
        <v>#REF!</v>
      </c>
      <c r="T124" s="33" t="e">
        <f t="shared" si="42"/>
        <v>#REF!</v>
      </c>
      <c r="U124" s="33" t="e">
        <f t="shared" si="43"/>
        <v>#REF!</v>
      </c>
      <c r="V124" s="33" t="e">
        <f t="shared" si="44"/>
        <v>#REF!</v>
      </c>
      <c r="W124" s="33" t="e">
        <f t="shared" si="45"/>
        <v>#REF!</v>
      </c>
      <c r="X124" s="33" t="e">
        <f t="shared" si="46"/>
        <v>#REF!</v>
      </c>
      <c r="Y124" s="130" t="s">
        <v>128</v>
      </c>
      <c r="Z124" s="35" t="s">
        <v>129</v>
      </c>
    </row>
    <row r="125" spans="1:26" x14ac:dyDescent="0.25">
      <c r="A125" s="85" t="s">
        <v>57</v>
      </c>
      <c r="B125" s="77" t="s">
        <v>199</v>
      </c>
      <c r="C125" s="29" t="e">
        <f>#REF!</f>
        <v>#REF!</v>
      </c>
      <c r="D125" s="29" t="e">
        <f>#REF!</f>
        <v>#REF!</v>
      </c>
      <c r="E125" s="29" t="e">
        <f>#REF!</f>
        <v>#REF!</v>
      </c>
      <c r="F125" s="29" t="e">
        <f>#REF!</f>
        <v>#REF!</v>
      </c>
      <c r="G125" s="29" t="e">
        <f>#REF!</f>
        <v>#REF!</v>
      </c>
      <c r="H125" s="29" t="e">
        <f>#REF!</f>
        <v>#REF!</v>
      </c>
      <c r="I125" s="29" t="e">
        <f>#REF!</f>
        <v>#REF!</v>
      </c>
      <c r="J125" s="29" t="e">
        <f>#REF!</f>
        <v>#REF!</v>
      </c>
      <c r="K125" s="29" t="e">
        <f>#REF!</f>
        <v>#REF!</v>
      </c>
      <c r="L125" s="29" t="e">
        <f>#REF!</f>
        <v>#REF!</v>
      </c>
      <c r="M125" s="135">
        <v>2500</v>
      </c>
      <c r="N125" s="135">
        <v>1</v>
      </c>
      <c r="O125" s="33" t="e">
        <f t="shared" si="52"/>
        <v>#REF!</v>
      </c>
      <c r="P125" s="33" t="e">
        <f t="shared" si="53"/>
        <v>#REF!</v>
      </c>
      <c r="Q125" s="33" t="e">
        <f t="shared" si="54"/>
        <v>#REF!</v>
      </c>
      <c r="R125" s="33" t="e">
        <f t="shared" si="55"/>
        <v>#REF!</v>
      </c>
      <c r="S125" s="33" t="e">
        <f t="shared" si="56"/>
        <v>#REF!</v>
      </c>
      <c r="T125" s="33" t="e">
        <f t="shared" si="42"/>
        <v>#REF!</v>
      </c>
      <c r="U125" s="33" t="e">
        <f t="shared" si="43"/>
        <v>#REF!</v>
      </c>
      <c r="V125" s="33" t="e">
        <f t="shared" si="44"/>
        <v>#REF!</v>
      </c>
      <c r="W125" s="33" t="e">
        <f t="shared" si="45"/>
        <v>#REF!</v>
      </c>
      <c r="X125" s="33" t="e">
        <f t="shared" si="46"/>
        <v>#REF!</v>
      </c>
      <c r="Y125" s="131" t="s">
        <v>198</v>
      </c>
      <c r="Z125" s="35"/>
    </row>
    <row r="126" spans="1:26" s="4" customFormat="1" x14ac:dyDescent="0.25">
      <c r="A126" s="165"/>
      <c r="B126" s="87"/>
      <c r="C126" s="29" t="e">
        <f>C125</f>
        <v>#REF!</v>
      </c>
      <c r="D126" s="29" t="e">
        <f t="shared" ref="D126:L126" si="64">D125</f>
        <v>#REF!</v>
      </c>
      <c r="E126" s="29" t="e">
        <f t="shared" si="64"/>
        <v>#REF!</v>
      </c>
      <c r="F126" s="29" t="e">
        <f t="shared" si="64"/>
        <v>#REF!</v>
      </c>
      <c r="G126" s="29" t="e">
        <f t="shared" si="64"/>
        <v>#REF!</v>
      </c>
      <c r="H126" s="29" t="e">
        <f t="shared" si="64"/>
        <v>#REF!</v>
      </c>
      <c r="I126" s="29" t="e">
        <f t="shared" si="64"/>
        <v>#REF!</v>
      </c>
      <c r="J126" s="29" t="e">
        <f t="shared" si="64"/>
        <v>#REF!</v>
      </c>
      <c r="K126" s="29" t="e">
        <f t="shared" si="64"/>
        <v>#REF!</v>
      </c>
      <c r="L126" s="29" t="e">
        <f t="shared" si="64"/>
        <v>#REF!</v>
      </c>
      <c r="M126" s="157"/>
      <c r="N126" s="157"/>
      <c r="O126" s="158"/>
      <c r="P126" s="158"/>
      <c r="Q126" s="158"/>
      <c r="R126" s="158"/>
      <c r="S126" s="158"/>
      <c r="T126" s="158"/>
      <c r="U126" s="158"/>
      <c r="V126" s="158"/>
      <c r="W126" s="158"/>
      <c r="X126" s="158"/>
      <c r="Y126" s="159"/>
      <c r="Z126" s="160"/>
    </row>
    <row r="127" spans="1:26" x14ac:dyDescent="0.25">
      <c r="A127" s="237" t="s">
        <v>58</v>
      </c>
      <c r="B127" s="246" t="s">
        <v>199</v>
      </c>
      <c r="C127" s="29" t="e">
        <f>#REF!</f>
        <v>#REF!</v>
      </c>
      <c r="D127" s="29" t="e">
        <f>#REF!</f>
        <v>#REF!</v>
      </c>
      <c r="E127" s="29" t="e">
        <f>#REF!</f>
        <v>#REF!</v>
      </c>
      <c r="F127" s="29" t="e">
        <f>#REF!</f>
        <v>#REF!</v>
      </c>
      <c r="G127" s="29" t="e">
        <f>#REF!</f>
        <v>#REF!</v>
      </c>
      <c r="H127" s="29" t="e">
        <f>#REF!</f>
        <v>#REF!</v>
      </c>
      <c r="I127" s="29" t="e">
        <f>#REF!</f>
        <v>#REF!</v>
      </c>
      <c r="J127" s="29" t="e">
        <f>#REF!</f>
        <v>#REF!</v>
      </c>
      <c r="K127" s="29" t="e">
        <f>#REF!</f>
        <v>#REF!</v>
      </c>
      <c r="L127" s="29" t="e">
        <f>#REF!</f>
        <v>#REF!</v>
      </c>
      <c r="M127" s="135">
        <v>2500</v>
      </c>
      <c r="N127" s="135">
        <v>1</v>
      </c>
      <c r="O127" s="33" t="e">
        <f t="shared" si="52"/>
        <v>#REF!</v>
      </c>
      <c r="P127" s="33" t="e">
        <f t="shared" si="53"/>
        <v>#REF!</v>
      </c>
      <c r="Q127" s="33" t="e">
        <f t="shared" si="54"/>
        <v>#REF!</v>
      </c>
      <c r="R127" s="33" t="e">
        <f t="shared" si="55"/>
        <v>#REF!</v>
      </c>
      <c r="S127" s="33" t="e">
        <f t="shared" si="56"/>
        <v>#REF!</v>
      </c>
      <c r="T127" s="33" t="e">
        <f t="shared" si="42"/>
        <v>#REF!</v>
      </c>
      <c r="U127" s="33" t="e">
        <f t="shared" si="43"/>
        <v>#REF!</v>
      </c>
      <c r="V127" s="33" t="e">
        <f t="shared" si="44"/>
        <v>#REF!</v>
      </c>
      <c r="W127" s="33" t="e">
        <f t="shared" si="45"/>
        <v>#REF!</v>
      </c>
      <c r="X127" s="33" t="e">
        <f t="shared" si="46"/>
        <v>#REF!</v>
      </c>
      <c r="Y127" s="245" t="s">
        <v>413</v>
      </c>
      <c r="Z127" s="35"/>
    </row>
    <row r="128" spans="1:26" x14ac:dyDescent="0.25">
      <c r="A128" s="31" t="s">
        <v>59</v>
      </c>
      <c r="B128" s="88" t="s">
        <v>203</v>
      </c>
      <c r="C128" s="29" t="e">
        <f>#REF!</f>
        <v>#REF!</v>
      </c>
      <c r="D128" s="29" t="e">
        <f>#REF!</f>
        <v>#REF!</v>
      </c>
      <c r="E128" s="29" t="e">
        <f>#REF!</f>
        <v>#REF!</v>
      </c>
      <c r="F128" s="29" t="e">
        <f>#REF!</f>
        <v>#REF!</v>
      </c>
      <c r="G128" s="29" t="e">
        <f>#REF!</f>
        <v>#REF!</v>
      </c>
      <c r="H128" s="29" t="e">
        <f>#REF!</f>
        <v>#REF!</v>
      </c>
      <c r="I128" s="29" t="e">
        <f>#REF!</f>
        <v>#REF!</v>
      </c>
      <c r="J128" s="29" t="e">
        <f>#REF!</f>
        <v>#REF!</v>
      </c>
      <c r="K128" s="29" t="e">
        <f>#REF!</f>
        <v>#REF!</v>
      </c>
      <c r="L128" s="29" t="e">
        <f>#REF!</f>
        <v>#REF!</v>
      </c>
      <c r="M128" s="135">
        <v>2500</v>
      </c>
      <c r="N128" s="135">
        <v>1</v>
      </c>
      <c r="O128" s="33" t="e">
        <f t="shared" si="52"/>
        <v>#REF!</v>
      </c>
      <c r="P128" s="33" t="e">
        <f t="shared" si="53"/>
        <v>#REF!</v>
      </c>
      <c r="Q128" s="33" t="e">
        <f t="shared" si="54"/>
        <v>#REF!</v>
      </c>
      <c r="R128" s="33" t="e">
        <f t="shared" si="55"/>
        <v>#REF!</v>
      </c>
      <c r="S128" s="33" t="e">
        <f t="shared" si="56"/>
        <v>#REF!</v>
      </c>
      <c r="T128" s="33" t="e">
        <f t="shared" si="42"/>
        <v>#REF!</v>
      </c>
      <c r="U128" s="33" t="e">
        <f t="shared" si="43"/>
        <v>#REF!</v>
      </c>
      <c r="V128" s="33" t="e">
        <f t="shared" si="44"/>
        <v>#REF!</v>
      </c>
      <c r="W128" s="33" t="e">
        <f t="shared" si="45"/>
        <v>#REF!</v>
      </c>
      <c r="X128" s="33" t="e">
        <f t="shared" si="46"/>
        <v>#REF!</v>
      </c>
      <c r="Y128" s="130" t="s">
        <v>128</v>
      </c>
      <c r="Z128" s="35" t="s">
        <v>129</v>
      </c>
    </row>
    <row r="129" spans="1:26" x14ac:dyDescent="0.25">
      <c r="A129" s="85" t="s">
        <v>59</v>
      </c>
      <c r="B129" s="77" t="s">
        <v>199</v>
      </c>
      <c r="C129" s="29" t="e">
        <f>#REF!</f>
        <v>#REF!</v>
      </c>
      <c r="D129" s="29" t="e">
        <f>#REF!</f>
        <v>#REF!</v>
      </c>
      <c r="E129" s="29" t="e">
        <f>#REF!</f>
        <v>#REF!</v>
      </c>
      <c r="F129" s="29" t="e">
        <f>#REF!</f>
        <v>#REF!</v>
      </c>
      <c r="G129" s="29" t="e">
        <f>#REF!</f>
        <v>#REF!</v>
      </c>
      <c r="H129" s="29" t="e">
        <f>#REF!</f>
        <v>#REF!</v>
      </c>
      <c r="I129" s="29" t="e">
        <f>#REF!</f>
        <v>#REF!</v>
      </c>
      <c r="J129" s="29" t="e">
        <f>#REF!</f>
        <v>#REF!</v>
      </c>
      <c r="K129" s="29" t="e">
        <f>#REF!</f>
        <v>#REF!</v>
      </c>
      <c r="L129" s="29" t="e">
        <f>#REF!</f>
        <v>#REF!</v>
      </c>
      <c r="M129" s="135">
        <v>2500</v>
      </c>
      <c r="N129" s="135">
        <v>1</v>
      </c>
      <c r="O129" s="33" t="e">
        <f t="shared" si="52"/>
        <v>#REF!</v>
      </c>
      <c r="P129" s="33" t="e">
        <f t="shared" si="53"/>
        <v>#REF!</v>
      </c>
      <c r="Q129" s="33" t="e">
        <f t="shared" si="54"/>
        <v>#REF!</v>
      </c>
      <c r="R129" s="33" t="e">
        <f t="shared" si="55"/>
        <v>#REF!</v>
      </c>
      <c r="S129" s="33" t="e">
        <f t="shared" si="56"/>
        <v>#REF!</v>
      </c>
      <c r="T129" s="33" t="e">
        <f t="shared" si="42"/>
        <v>#REF!</v>
      </c>
      <c r="U129" s="33" t="e">
        <f t="shared" si="43"/>
        <v>#REF!</v>
      </c>
      <c r="V129" s="33" t="e">
        <f t="shared" si="44"/>
        <v>#REF!</v>
      </c>
      <c r="W129" s="33" t="e">
        <f t="shared" si="45"/>
        <v>#REF!</v>
      </c>
      <c r="X129" s="33" t="e">
        <f t="shared" si="46"/>
        <v>#REF!</v>
      </c>
      <c r="Y129" s="131" t="s">
        <v>198</v>
      </c>
      <c r="Z129" s="35"/>
    </row>
    <row r="130" spans="1:26" s="4" customFormat="1" x14ac:dyDescent="0.25">
      <c r="A130" s="165"/>
      <c r="B130" s="87"/>
      <c r="C130" s="29" t="e">
        <f>C129</f>
        <v>#REF!</v>
      </c>
      <c r="D130" s="29" t="e">
        <f t="shared" ref="D130:L130" si="65">D129</f>
        <v>#REF!</v>
      </c>
      <c r="E130" s="29" t="e">
        <f t="shared" si="65"/>
        <v>#REF!</v>
      </c>
      <c r="F130" s="29" t="e">
        <f t="shared" si="65"/>
        <v>#REF!</v>
      </c>
      <c r="G130" s="29" t="e">
        <f t="shared" si="65"/>
        <v>#REF!</v>
      </c>
      <c r="H130" s="29" t="e">
        <f t="shared" si="65"/>
        <v>#REF!</v>
      </c>
      <c r="I130" s="29" t="e">
        <f t="shared" si="65"/>
        <v>#REF!</v>
      </c>
      <c r="J130" s="29" t="e">
        <f t="shared" si="65"/>
        <v>#REF!</v>
      </c>
      <c r="K130" s="29" t="e">
        <f t="shared" si="65"/>
        <v>#REF!</v>
      </c>
      <c r="L130" s="29" t="e">
        <f t="shared" si="65"/>
        <v>#REF!</v>
      </c>
      <c r="M130" s="157"/>
      <c r="N130" s="157"/>
      <c r="O130" s="158"/>
      <c r="P130" s="158"/>
      <c r="Q130" s="158"/>
      <c r="R130" s="158"/>
      <c r="S130" s="158"/>
      <c r="T130" s="158"/>
      <c r="U130" s="158"/>
      <c r="V130" s="158"/>
      <c r="W130" s="158"/>
      <c r="X130" s="158"/>
      <c r="Y130" s="159"/>
      <c r="Z130" s="160"/>
    </row>
    <row r="131" spans="1:26" x14ac:dyDescent="0.25">
      <c r="A131" s="84" t="s">
        <v>60</v>
      </c>
      <c r="B131" s="77" t="s">
        <v>199</v>
      </c>
      <c r="C131" s="29" t="e">
        <f>#REF!</f>
        <v>#REF!</v>
      </c>
      <c r="D131" s="29" t="e">
        <f>#REF!</f>
        <v>#REF!</v>
      </c>
      <c r="E131" s="29" t="e">
        <f>#REF!</f>
        <v>#REF!</v>
      </c>
      <c r="F131" s="29" t="e">
        <f>#REF!</f>
        <v>#REF!</v>
      </c>
      <c r="G131" s="29" t="e">
        <f>#REF!</f>
        <v>#REF!</v>
      </c>
      <c r="H131" s="29" t="e">
        <f>#REF!</f>
        <v>#REF!</v>
      </c>
      <c r="I131" s="29" t="e">
        <f>#REF!</f>
        <v>#REF!</v>
      </c>
      <c r="J131" s="29" t="e">
        <f>#REF!</f>
        <v>#REF!</v>
      </c>
      <c r="K131" s="29" t="e">
        <f>#REF!</f>
        <v>#REF!</v>
      </c>
      <c r="L131" s="29" t="e">
        <f>#REF!</f>
        <v>#REF!</v>
      </c>
      <c r="M131" s="135">
        <v>2500</v>
      </c>
      <c r="N131" s="135">
        <v>1</v>
      </c>
      <c r="O131" s="33" t="e">
        <f t="shared" si="52"/>
        <v>#REF!</v>
      </c>
      <c r="P131" s="33" t="e">
        <f t="shared" si="53"/>
        <v>#REF!</v>
      </c>
      <c r="Q131" s="33" t="e">
        <f t="shared" si="54"/>
        <v>#REF!</v>
      </c>
      <c r="R131" s="33" t="e">
        <f t="shared" si="55"/>
        <v>#REF!</v>
      </c>
      <c r="S131" s="33" t="e">
        <f t="shared" si="56"/>
        <v>#REF!</v>
      </c>
      <c r="T131" s="33" t="e">
        <f t="shared" si="42"/>
        <v>#REF!</v>
      </c>
      <c r="U131" s="33" t="e">
        <f t="shared" si="43"/>
        <v>#REF!</v>
      </c>
      <c r="V131" s="33" t="e">
        <f t="shared" si="44"/>
        <v>#REF!</v>
      </c>
      <c r="W131" s="33" t="e">
        <f t="shared" si="45"/>
        <v>#REF!</v>
      </c>
      <c r="X131" s="33" t="e">
        <f t="shared" si="46"/>
        <v>#REF!</v>
      </c>
      <c r="Y131" s="131" t="s">
        <v>198</v>
      </c>
      <c r="Z131" s="35"/>
    </row>
    <row r="132" spans="1:26" x14ac:dyDescent="0.25">
      <c r="A132" s="31" t="s">
        <v>61</v>
      </c>
      <c r="B132" s="88" t="s">
        <v>203</v>
      </c>
      <c r="C132" s="29" t="e">
        <f>#REF!</f>
        <v>#REF!</v>
      </c>
      <c r="D132" s="29" t="e">
        <f>#REF!</f>
        <v>#REF!</v>
      </c>
      <c r="E132" s="29" t="e">
        <f>#REF!</f>
        <v>#REF!</v>
      </c>
      <c r="F132" s="29" t="e">
        <f>#REF!</f>
        <v>#REF!</v>
      </c>
      <c r="G132" s="29" t="e">
        <f>#REF!</f>
        <v>#REF!</v>
      </c>
      <c r="H132" s="29" t="e">
        <f>#REF!</f>
        <v>#REF!</v>
      </c>
      <c r="I132" s="29" t="e">
        <f>#REF!</f>
        <v>#REF!</v>
      </c>
      <c r="J132" s="29" t="e">
        <f>#REF!</f>
        <v>#REF!</v>
      </c>
      <c r="K132" s="29" t="e">
        <f>#REF!</f>
        <v>#REF!</v>
      </c>
      <c r="L132" s="29" t="e">
        <f>#REF!</f>
        <v>#REF!</v>
      </c>
      <c r="M132" s="135">
        <v>2500</v>
      </c>
      <c r="N132" s="135">
        <v>1</v>
      </c>
      <c r="O132" s="33" t="e">
        <f t="shared" si="52"/>
        <v>#REF!</v>
      </c>
      <c r="P132" s="33" t="e">
        <f t="shared" si="53"/>
        <v>#REF!</v>
      </c>
      <c r="Q132" s="33" t="e">
        <f t="shared" si="54"/>
        <v>#REF!</v>
      </c>
      <c r="R132" s="33" t="e">
        <f t="shared" si="55"/>
        <v>#REF!</v>
      </c>
      <c r="S132" s="33" t="e">
        <f t="shared" si="56"/>
        <v>#REF!</v>
      </c>
      <c r="T132" s="33" t="e">
        <f t="shared" si="42"/>
        <v>#REF!</v>
      </c>
      <c r="U132" s="33" t="e">
        <f t="shared" si="43"/>
        <v>#REF!</v>
      </c>
      <c r="V132" s="33" t="e">
        <f t="shared" si="44"/>
        <v>#REF!</v>
      </c>
      <c r="W132" s="33" t="e">
        <f t="shared" si="45"/>
        <v>#REF!</v>
      </c>
      <c r="X132" s="33" t="e">
        <f t="shared" si="46"/>
        <v>#REF!</v>
      </c>
      <c r="Y132" s="130" t="s">
        <v>128</v>
      </c>
      <c r="Z132" s="35" t="s">
        <v>129</v>
      </c>
    </row>
    <row r="133" spans="1:26" x14ac:dyDescent="0.25">
      <c r="A133" s="85" t="s">
        <v>61</v>
      </c>
      <c r="B133" s="77" t="s">
        <v>199</v>
      </c>
      <c r="C133" s="29" t="e">
        <f>#REF!</f>
        <v>#REF!</v>
      </c>
      <c r="D133" s="29" t="e">
        <f>#REF!</f>
        <v>#REF!</v>
      </c>
      <c r="E133" s="29" t="e">
        <f>#REF!</f>
        <v>#REF!</v>
      </c>
      <c r="F133" s="29" t="e">
        <f>#REF!</f>
        <v>#REF!</v>
      </c>
      <c r="G133" s="29" t="e">
        <f>#REF!</f>
        <v>#REF!</v>
      </c>
      <c r="H133" s="29" t="e">
        <f>#REF!</f>
        <v>#REF!</v>
      </c>
      <c r="I133" s="29" t="e">
        <f>#REF!</f>
        <v>#REF!</v>
      </c>
      <c r="J133" s="29" t="e">
        <f>#REF!</f>
        <v>#REF!</v>
      </c>
      <c r="K133" s="29" t="e">
        <f>#REF!</f>
        <v>#REF!</v>
      </c>
      <c r="L133" s="29" t="e">
        <f>#REF!</f>
        <v>#REF!</v>
      </c>
      <c r="M133" s="135">
        <v>2500</v>
      </c>
      <c r="N133" s="135">
        <v>1</v>
      </c>
      <c r="O133" s="33" t="e">
        <f t="shared" si="52"/>
        <v>#REF!</v>
      </c>
      <c r="P133" s="33" t="e">
        <f t="shared" si="53"/>
        <v>#REF!</v>
      </c>
      <c r="Q133" s="33" t="e">
        <f t="shared" si="54"/>
        <v>#REF!</v>
      </c>
      <c r="R133" s="33" t="e">
        <f t="shared" si="55"/>
        <v>#REF!</v>
      </c>
      <c r="S133" s="33" t="e">
        <f t="shared" si="56"/>
        <v>#REF!</v>
      </c>
      <c r="T133" s="33" t="e">
        <f t="shared" si="42"/>
        <v>#REF!</v>
      </c>
      <c r="U133" s="33" t="e">
        <f t="shared" si="43"/>
        <v>#REF!</v>
      </c>
      <c r="V133" s="33" t="e">
        <f t="shared" si="44"/>
        <v>#REF!</v>
      </c>
      <c r="W133" s="33" t="e">
        <f t="shared" si="45"/>
        <v>#REF!</v>
      </c>
      <c r="X133" s="33" t="e">
        <f t="shared" si="46"/>
        <v>#REF!</v>
      </c>
      <c r="Y133" s="131" t="s">
        <v>198</v>
      </c>
      <c r="Z133" s="35"/>
    </row>
    <row r="134" spans="1:26" s="4" customFormat="1" x14ac:dyDescent="0.25">
      <c r="A134" s="165"/>
      <c r="B134" s="87"/>
      <c r="C134" s="29" t="e">
        <f>C133</f>
        <v>#REF!</v>
      </c>
      <c r="D134" s="29" t="e">
        <f t="shared" ref="D134:L134" si="66">D133</f>
        <v>#REF!</v>
      </c>
      <c r="E134" s="29" t="e">
        <f t="shared" si="66"/>
        <v>#REF!</v>
      </c>
      <c r="F134" s="29" t="e">
        <f t="shared" si="66"/>
        <v>#REF!</v>
      </c>
      <c r="G134" s="29" t="e">
        <f t="shared" si="66"/>
        <v>#REF!</v>
      </c>
      <c r="H134" s="29" t="e">
        <f t="shared" si="66"/>
        <v>#REF!</v>
      </c>
      <c r="I134" s="29" t="e">
        <f t="shared" si="66"/>
        <v>#REF!</v>
      </c>
      <c r="J134" s="29" t="e">
        <f t="shared" si="66"/>
        <v>#REF!</v>
      </c>
      <c r="K134" s="29" t="e">
        <f t="shared" si="66"/>
        <v>#REF!</v>
      </c>
      <c r="L134" s="29" t="e">
        <f t="shared" si="66"/>
        <v>#REF!</v>
      </c>
      <c r="M134" s="157"/>
      <c r="N134" s="157"/>
      <c r="O134" s="158"/>
      <c r="P134" s="158"/>
      <c r="Q134" s="158"/>
      <c r="R134" s="158"/>
      <c r="S134" s="158"/>
      <c r="T134" s="158"/>
      <c r="U134" s="158"/>
      <c r="V134" s="158"/>
      <c r="W134" s="158"/>
      <c r="X134" s="158"/>
      <c r="Y134" s="159"/>
      <c r="Z134" s="160"/>
    </row>
    <row r="135" spans="1:26" x14ac:dyDescent="0.25">
      <c r="A135" s="30" t="s">
        <v>62</v>
      </c>
      <c r="B135" s="80" t="s">
        <v>227</v>
      </c>
      <c r="C135" s="29" t="e">
        <f>#REF!</f>
        <v>#REF!</v>
      </c>
      <c r="D135" s="29" t="e">
        <f>#REF!</f>
        <v>#REF!</v>
      </c>
      <c r="E135" s="29" t="e">
        <f>#REF!</f>
        <v>#REF!</v>
      </c>
      <c r="F135" s="29" t="e">
        <f>#REF!</f>
        <v>#REF!</v>
      </c>
      <c r="G135" s="29" t="e">
        <f>#REF!</f>
        <v>#REF!</v>
      </c>
      <c r="H135" s="29" t="e">
        <f>#REF!</f>
        <v>#REF!</v>
      </c>
      <c r="I135" s="29" t="e">
        <f>#REF!</f>
        <v>#REF!</v>
      </c>
      <c r="J135" s="29" t="e">
        <f>#REF!</f>
        <v>#REF!</v>
      </c>
      <c r="K135" s="29" t="e">
        <f>#REF!</f>
        <v>#REF!</v>
      </c>
      <c r="L135" s="29" t="e">
        <f>#REF!</f>
        <v>#REF!</v>
      </c>
      <c r="M135" s="135">
        <v>2500</v>
      </c>
      <c r="N135" s="135">
        <v>1</v>
      </c>
      <c r="O135" s="33" t="e">
        <f t="shared" si="52"/>
        <v>#REF!</v>
      </c>
      <c r="P135" s="33" t="e">
        <f t="shared" si="53"/>
        <v>#REF!</v>
      </c>
      <c r="Q135" s="33" t="e">
        <f t="shared" si="54"/>
        <v>#REF!</v>
      </c>
      <c r="R135" s="33" t="e">
        <f t="shared" si="55"/>
        <v>#REF!</v>
      </c>
      <c r="S135" s="33" t="e">
        <f t="shared" si="56"/>
        <v>#REF!</v>
      </c>
      <c r="T135" s="33" t="e">
        <f t="shared" si="42"/>
        <v>#REF!</v>
      </c>
      <c r="U135" s="33" t="e">
        <f t="shared" si="43"/>
        <v>#REF!</v>
      </c>
      <c r="V135" s="33" t="e">
        <f t="shared" si="44"/>
        <v>#REF!</v>
      </c>
      <c r="W135" s="33" t="e">
        <f t="shared" si="45"/>
        <v>#REF!</v>
      </c>
      <c r="X135" s="33" t="e">
        <f t="shared" si="46"/>
        <v>#REF!</v>
      </c>
      <c r="Y135" s="24" t="s">
        <v>81</v>
      </c>
      <c r="Z135" s="35"/>
    </row>
    <row r="136" spans="1:26" x14ac:dyDescent="0.25">
      <c r="A136" s="31" t="s">
        <v>62</v>
      </c>
      <c r="B136" s="88" t="s">
        <v>203</v>
      </c>
      <c r="C136" s="29" t="e">
        <f>#REF!</f>
        <v>#REF!</v>
      </c>
      <c r="D136" s="29" t="e">
        <f>#REF!</f>
        <v>#REF!</v>
      </c>
      <c r="E136" s="29" t="e">
        <f>#REF!</f>
        <v>#REF!</v>
      </c>
      <c r="F136" s="29" t="e">
        <f>#REF!</f>
        <v>#REF!</v>
      </c>
      <c r="G136" s="29" t="e">
        <f>#REF!</f>
        <v>#REF!</v>
      </c>
      <c r="H136" s="29" t="e">
        <f>#REF!</f>
        <v>#REF!</v>
      </c>
      <c r="I136" s="29" t="e">
        <f>#REF!</f>
        <v>#REF!</v>
      </c>
      <c r="J136" s="29" t="e">
        <f>#REF!</f>
        <v>#REF!</v>
      </c>
      <c r="K136" s="29" t="e">
        <f>#REF!</f>
        <v>#REF!</v>
      </c>
      <c r="L136" s="29" t="e">
        <f>#REF!</f>
        <v>#REF!</v>
      </c>
      <c r="M136" s="135">
        <v>2500</v>
      </c>
      <c r="N136" s="135">
        <v>1</v>
      </c>
      <c r="O136" s="33" t="e">
        <f t="shared" si="52"/>
        <v>#REF!</v>
      </c>
      <c r="P136" s="33" t="e">
        <f t="shared" si="53"/>
        <v>#REF!</v>
      </c>
      <c r="Q136" s="33" t="e">
        <f t="shared" si="54"/>
        <v>#REF!</v>
      </c>
      <c r="R136" s="33" t="e">
        <f t="shared" si="55"/>
        <v>#REF!</v>
      </c>
      <c r="S136" s="33" t="e">
        <f t="shared" si="56"/>
        <v>#REF!</v>
      </c>
      <c r="T136" s="33" t="e">
        <f t="shared" si="42"/>
        <v>#REF!</v>
      </c>
      <c r="U136" s="33" t="e">
        <f t="shared" si="43"/>
        <v>#REF!</v>
      </c>
      <c r="V136" s="33" t="e">
        <f t="shared" si="44"/>
        <v>#REF!</v>
      </c>
      <c r="W136" s="33" t="e">
        <f t="shared" si="45"/>
        <v>#REF!</v>
      </c>
      <c r="X136" s="33" t="e">
        <f t="shared" si="46"/>
        <v>#REF!</v>
      </c>
      <c r="Y136" s="130" t="s">
        <v>128</v>
      </c>
      <c r="Z136" s="35" t="s">
        <v>134</v>
      </c>
    </row>
    <row r="137" spans="1:26" x14ac:dyDescent="0.25">
      <c r="A137" s="85" t="s">
        <v>62</v>
      </c>
      <c r="B137" s="77" t="s">
        <v>199</v>
      </c>
      <c r="C137" s="29" t="e">
        <f>#REF!</f>
        <v>#REF!</v>
      </c>
      <c r="D137" s="29" t="e">
        <f>#REF!</f>
        <v>#REF!</v>
      </c>
      <c r="E137" s="29" t="e">
        <f>#REF!</f>
        <v>#REF!</v>
      </c>
      <c r="F137" s="29" t="e">
        <f>#REF!</f>
        <v>#REF!</v>
      </c>
      <c r="G137" s="29" t="e">
        <f>#REF!</f>
        <v>#REF!</v>
      </c>
      <c r="H137" s="29" t="e">
        <f>#REF!</f>
        <v>#REF!</v>
      </c>
      <c r="I137" s="29" t="e">
        <f>#REF!</f>
        <v>#REF!</v>
      </c>
      <c r="J137" s="29" t="e">
        <f>#REF!</f>
        <v>#REF!</v>
      </c>
      <c r="K137" s="29" t="e">
        <f>#REF!</f>
        <v>#REF!</v>
      </c>
      <c r="L137" s="29" t="e">
        <f>#REF!</f>
        <v>#REF!</v>
      </c>
      <c r="M137" s="135">
        <v>2500</v>
      </c>
      <c r="N137" s="135">
        <v>1</v>
      </c>
      <c r="O137" s="33" t="e">
        <f t="shared" si="52"/>
        <v>#REF!</v>
      </c>
      <c r="P137" s="33" t="e">
        <f t="shared" si="53"/>
        <v>#REF!</v>
      </c>
      <c r="Q137" s="33" t="e">
        <f t="shared" si="54"/>
        <v>#REF!</v>
      </c>
      <c r="R137" s="33" t="e">
        <f t="shared" si="55"/>
        <v>#REF!</v>
      </c>
      <c r="S137" s="33" t="e">
        <f t="shared" si="56"/>
        <v>#REF!</v>
      </c>
      <c r="T137" s="33" t="e">
        <f t="shared" si="42"/>
        <v>#REF!</v>
      </c>
      <c r="U137" s="33" t="e">
        <f t="shared" si="43"/>
        <v>#REF!</v>
      </c>
      <c r="V137" s="33" t="e">
        <f t="shared" si="44"/>
        <v>#REF!</v>
      </c>
      <c r="W137" s="33" t="e">
        <f t="shared" si="45"/>
        <v>#REF!</v>
      </c>
      <c r="X137" s="33" t="e">
        <f t="shared" si="46"/>
        <v>#REF!</v>
      </c>
      <c r="Y137" s="131" t="s">
        <v>198</v>
      </c>
      <c r="Z137" s="35"/>
    </row>
    <row r="138" spans="1:26" x14ac:dyDescent="0.25">
      <c r="A138" s="127" t="s">
        <v>62</v>
      </c>
      <c r="B138" s="126" t="s">
        <v>231</v>
      </c>
      <c r="C138" s="29" t="e">
        <f>#REF!</f>
        <v>#REF!</v>
      </c>
      <c r="D138" s="29" t="e">
        <f>#REF!</f>
        <v>#REF!</v>
      </c>
      <c r="E138" s="29" t="e">
        <f>#REF!</f>
        <v>#REF!</v>
      </c>
      <c r="F138" s="29" t="e">
        <f>#REF!</f>
        <v>#REF!</v>
      </c>
      <c r="G138" s="29" t="e">
        <f>#REF!</f>
        <v>#REF!</v>
      </c>
      <c r="H138" s="29" t="e">
        <f>#REF!</f>
        <v>#REF!</v>
      </c>
      <c r="I138" s="29" t="e">
        <f>#REF!</f>
        <v>#REF!</v>
      </c>
      <c r="J138" s="29" t="e">
        <f>#REF!</f>
        <v>#REF!</v>
      </c>
      <c r="K138" s="29" t="e">
        <f>#REF!</f>
        <v>#REF!</v>
      </c>
      <c r="L138" s="29" t="e">
        <f>#REF!</f>
        <v>#REF!</v>
      </c>
      <c r="M138" s="135">
        <v>2500</v>
      </c>
      <c r="N138" s="135">
        <v>1</v>
      </c>
      <c r="O138" s="33" t="e">
        <f t="shared" si="52"/>
        <v>#REF!</v>
      </c>
      <c r="P138" s="33" t="e">
        <f t="shared" si="53"/>
        <v>#REF!</v>
      </c>
      <c r="Q138" s="33" t="e">
        <f t="shared" si="54"/>
        <v>#REF!</v>
      </c>
      <c r="R138" s="33" t="e">
        <f t="shared" si="55"/>
        <v>#REF!</v>
      </c>
      <c r="S138" s="33" t="e">
        <f t="shared" si="56"/>
        <v>#REF!</v>
      </c>
      <c r="T138" s="33" t="e">
        <f t="shared" si="42"/>
        <v>#REF!</v>
      </c>
      <c r="U138" s="33" t="e">
        <f t="shared" si="43"/>
        <v>#REF!</v>
      </c>
      <c r="V138" s="33" t="e">
        <f t="shared" si="44"/>
        <v>#REF!</v>
      </c>
      <c r="W138" s="33" t="e">
        <f t="shared" si="45"/>
        <v>#REF!</v>
      </c>
      <c r="X138" s="33" t="e">
        <f t="shared" si="46"/>
        <v>#REF!</v>
      </c>
      <c r="Y138" s="133" t="s">
        <v>85</v>
      </c>
      <c r="Z138" s="35"/>
    </row>
    <row r="139" spans="1:26" s="4" customFormat="1" x14ac:dyDescent="0.25">
      <c r="A139" s="165"/>
      <c r="B139" s="87"/>
      <c r="C139" s="29" t="e">
        <f>C137</f>
        <v>#REF!</v>
      </c>
      <c r="D139" s="29" t="e">
        <f t="shared" ref="D139:L139" si="67">D137</f>
        <v>#REF!</v>
      </c>
      <c r="E139" s="29" t="e">
        <f t="shared" si="67"/>
        <v>#REF!</v>
      </c>
      <c r="F139" s="29" t="e">
        <f t="shared" si="67"/>
        <v>#REF!</v>
      </c>
      <c r="G139" s="29" t="e">
        <f t="shared" si="67"/>
        <v>#REF!</v>
      </c>
      <c r="H139" s="29" t="e">
        <f t="shared" si="67"/>
        <v>#REF!</v>
      </c>
      <c r="I139" s="29" t="e">
        <f t="shared" si="67"/>
        <v>#REF!</v>
      </c>
      <c r="J139" s="29" t="e">
        <f t="shared" si="67"/>
        <v>#REF!</v>
      </c>
      <c r="K139" s="29" t="e">
        <f t="shared" si="67"/>
        <v>#REF!</v>
      </c>
      <c r="L139" s="29" t="e">
        <f t="shared" si="67"/>
        <v>#REF!</v>
      </c>
      <c r="M139" s="157"/>
      <c r="N139" s="157"/>
      <c r="O139" s="158"/>
      <c r="P139" s="158"/>
      <c r="Q139" s="158"/>
      <c r="R139" s="158"/>
      <c r="S139" s="158"/>
      <c r="T139" s="158"/>
      <c r="U139" s="158"/>
      <c r="V139" s="158"/>
      <c r="W139" s="158"/>
      <c r="X139" s="158"/>
      <c r="Y139" s="167"/>
      <c r="Z139" s="160"/>
    </row>
    <row r="140" spans="1:26" x14ac:dyDescent="0.25">
      <c r="A140" s="84" t="s">
        <v>98</v>
      </c>
      <c r="B140" s="77" t="s">
        <v>199</v>
      </c>
      <c r="C140" s="29" t="e">
        <f>#REF!</f>
        <v>#REF!</v>
      </c>
      <c r="D140" s="29" t="e">
        <f>#REF!</f>
        <v>#REF!</v>
      </c>
      <c r="E140" s="29" t="e">
        <f>#REF!</f>
        <v>#REF!</v>
      </c>
      <c r="F140" s="29" t="e">
        <f>#REF!</f>
        <v>#REF!</v>
      </c>
      <c r="G140" s="29" t="e">
        <f>#REF!</f>
        <v>#REF!</v>
      </c>
      <c r="H140" s="29" t="e">
        <f>#REF!</f>
        <v>#REF!</v>
      </c>
      <c r="I140" s="29" t="e">
        <f>#REF!</f>
        <v>#REF!</v>
      </c>
      <c r="J140" s="29" t="e">
        <f>#REF!</f>
        <v>#REF!</v>
      </c>
      <c r="K140" s="29" t="e">
        <f>#REF!</f>
        <v>#REF!</v>
      </c>
      <c r="L140" s="29" t="e">
        <f>#REF!</f>
        <v>#REF!</v>
      </c>
      <c r="M140" s="135">
        <v>2500</v>
      </c>
      <c r="N140" s="135">
        <v>1</v>
      </c>
      <c r="O140" s="33" t="e">
        <f t="shared" si="52"/>
        <v>#REF!</v>
      </c>
      <c r="P140" s="33" t="e">
        <f t="shared" si="53"/>
        <v>#REF!</v>
      </c>
      <c r="Q140" s="33" t="e">
        <f t="shared" si="54"/>
        <v>#REF!</v>
      </c>
      <c r="R140" s="33" t="e">
        <f t="shared" si="55"/>
        <v>#REF!</v>
      </c>
      <c r="S140" s="33" t="e">
        <f t="shared" si="56"/>
        <v>#REF!</v>
      </c>
      <c r="T140" s="33" t="e">
        <f t="shared" si="42"/>
        <v>#REF!</v>
      </c>
      <c r="U140" s="33" t="e">
        <f t="shared" si="43"/>
        <v>#REF!</v>
      </c>
      <c r="V140" s="33" t="e">
        <f t="shared" si="44"/>
        <v>#REF!</v>
      </c>
      <c r="W140" s="33" t="e">
        <f t="shared" si="45"/>
        <v>#REF!</v>
      </c>
      <c r="X140" s="33" t="e">
        <f t="shared" si="46"/>
        <v>#REF!</v>
      </c>
      <c r="Y140" s="131" t="s">
        <v>198</v>
      </c>
      <c r="Z140" s="35"/>
    </row>
    <row r="141" spans="1:26" x14ac:dyDescent="0.25">
      <c r="A141" s="237" t="s">
        <v>104</v>
      </c>
      <c r="B141" s="246" t="s">
        <v>199</v>
      </c>
      <c r="C141" s="29" t="e">
        <f>#REF!</f>
        <v>#REF!</v>
      </c>
      <c r="D141" s="29" t="e">
        <f>#REF!</f>
        <v>#REF!</v>
      </c>
      <c r="E141" s="29" t="e">
        <f>#REF!</f>
        <v>#REF!</v>
      </c>
      <c r="F141" s="29" t="e">
        <f>#REF!</f>
        <v>#REF!</v>
      </c>
      <c r="G141" s="29" t="e">
        <f>#REF!</f>
        <v>#REF!</v>
      </c>
      <c r="H141" s="29" t="e">
        <f>#REF!</f>
        <v>#REF!</v>
      </c>
      <c r="I141" s="29" t="e">
        <f>#REF!</f>
        <v>#REF!</v>
      </c>
      <c r="J141" s="29" t="e">
        <f>#REF!</f>
        <v>#REF!</v>
      </c>
      <c r="K141" s="29" t="e">
        <f>#REF!</f>
        <v>#REF!</v>
      </c>
      <c r="L141" s="29" t="e">
        <f>#REF!</f>
        <v>#REF!</v>
      </c>
      <c r="M141" s="135">
        <v>2500</v>
      </c>
      <c r="N141" s="135">
        <v>1</v>
      </c>
      <c r="O141" s="33" t="e">
        <f t="shared" si="52"/>
        <v>#REF!</v>
      </c>
      <c r="P141" s="33" t="e">
        <f t="shared" si="53"/>
        <v>#REF!</v>
      </c>
      <c r="Q141" s="33" t="e">
        <f t="shared" si="54"/>
        <v>#REF!</v>
      </c>
      <c r="R141" s="33" t="e">
        <f t="shared" si="55"/>
        <v>#REF!</v>
      </c>
      <c r="S141" s="33" t="e">
        <f t="shared" si="56"/>
        <v>#REF!</v>
      </c>
      <c r="T141" s="33" t="e">
        <f t="shared" si="42"/>
        <v>#REF!</v>
      </c>
      <c r="U141" s="33" t="e">
        <f t="shared" si="43"/>
        <v>#REF!</v>
      </c>
      <c r="V141" s="33" t="e">
        <f t="shared" si="44"/>
        <v>#REF!</v>
      </c>
      <c r="W141" s="33" t="e">
        <f t="shared" si="45"/>
        <v>#REF!</v>
      </c>
      <c r="X141" s="33" t="e">
        <f t="shared" si="46"/>
        <v>#REF!</v>
      </c>
      <c r="Y141" s="245" t="s">
        <v>413</v>
      </c>
      <c r="Z141" s="35"/>
    </row>
    <row r="142" spans="1:26" x14ac:dyDescent="0.25">
      <c r="A142" s="161" t="s">
        <v>63</v>
      </c>
      <c r="B142" s="162"/>
      <c r="C142" s="29" t="e">
        <f>#REF!</f>
        <v>#REF!</v>
      </c>
      <c r="D142" s="29" t="e">
        <f>#REF!</f>
        <v>#REF!</v>
      </c>
      <c r="E142" s="29" t="e">
        <f>#REF!</f>
        <v>#REF!</v>
      </c>
      <c r="F142" s="29" t="e">
        <f>#REF!</f>
        <v>#REF!</v>
      </c>
      <c r="G142" s="29" t="e">
        <f>#REF!</f>
        <v>#REF!</v>
      </c>
      <c r="H142" s="29" t="e">
        <f>#REF!</f>
        <v>#REF!</v>
      </c>
      <c r="I142" s="29" t="e">
        <f>#REF!</f>
        <v>#REF!</v>
      </c>
      <c r="J142" s="29" t="e">
        <f>#REF!</f>
        <v>#REF!</v>
      </c>
      <c r="K142" s="29" t="e">
        <f>#REF!</f>
        <v>#REF!</v>
      </c>
      <c r="L142" s="29" t="e">
        <f>#REF!</f>
        <v>#REF!</v>
      </c>
      <c r="M142" s="135">
        <v>2500</v>
      </c>
      <c r="N142" s="135">
        <v>1</v>
      </c>
      <c r="O142" s="33" t="e">
        <f t="shared" si="52"/>
        <v>#REF!</v>
      </c>
      <c r="P142" s="33" t="e">
        <f t="shared" si="53"/>
        <v>#REF!</v>
      </c>
      <c r="Q142" s="33" t="e">
        <f t="shared" si="54"/>
        <v>#REF!</v>
      </c>
      <c r="R142" s="33" t="e">
        <f t="shared" si="55"/>
        <v>#REF!</v>
      </c>
      <c r="S142" s="33" t="e">
        <f t="shared" si="56"/>
        <v>#REF!</v>
      </c>
      <c r="T142" s="33" t="e">
        <f t="shared" si="42"/>
        <v>#REF!</v>
      </c>
      <c r="U142" s="33" t="e">
        <f t="shared" si="43"/>
        <v>#REF!</v>
      </c>
      <c r="V142" s="33" t="e">
        <f t="shared" si="44"/>
        <v>#REF!</v>
      </c>
      <c r="W142" s="33" t="e">
        <f t="shared" si="45"/>
        <v>#REF!</v>
      </c>
      <c r="X142" s="33" t="e">
        <f t="shared" si="46"/>
        <v>#REF!</v>
      </c>
      <c r="Y142" s="132"/>
      <c r="Z142" s="35"/>
    </row>
    <row r="143" spans="1:26" x14ac:dyDescent="0.25">
      <c r="A143" s="84" t="s">
        <v>64</v>
      </c>
      <c r="B143" s="77" t="s">
        <v>199</v>
      </c>
      <c r="C143" s="29" t="e">
        <f>#REF!</f>
        <v>#REF!</v>
      </c>
      <c r="D143" s="29" t="e">
        <f>#REF!</f>
        <v>#REF!</v>
      </c>
      <c r="E143" s="29" t="e">
        <f>#REF!</f>
        <v>#REF!</v>
      </c>
      <c r="F143" s="29" t="e">
        <f>#REF!</f>
        <v>#REF!</v>
      </c>
      <c r="G143" s="29" t="e">
        <f>#REF!</f>
        <v>#REF!</v>
      </c>
      <c r="H143" s="29" t="e">
        <f>#REF!</f>
        <v>#REF!</v>
      </c>
      <c r="I143" s="29" t="e">
        <f>#REF!</f>
        <v>#REF!</v>
      </c>
      <c r="J143" s="29" t="e">
        <f>#REF!</f>
        <v>#REF!</v>
      </c>
      <c r="K143" s="29" t="e">
        <f>#REF!</f>
        <v>#REF!</v>
      </c>
      <c r="L143" s="29" t="e">
        <f>#REF!</f>
        <v>#REF!</v>
      </c>
      <c r="M143" s="135">
        <v>2500</v>
      </c>
      <c r="N143" s="135">
        <v>1</v>
      </c>
      <c r="O143" s="33" t="e">
        <f t="shared" si="52"/>
        <v>#REF!</v>
      </c>
      <c r="P143" s="33" t="e">
        <f t="shared" si="53"/>
        <v>#REF!</v>
      </c>
      <c r="Q143" s="33" t="e">
        <f t="shared" si="54"/>
        <v>#REF!</v>
      </c>
      <c r="R143" s="33" t="e">
        <f t="shared" si="55"/>
        <v>#REF!</v>
      </c>
      <c r="S143" s="33" t="e">
        <f t="shared" si="56"/>
        <v>#REF!</v>
      </c>
      <c r="T143" s="33" t="e">
        <f t="shared" si="42"/>
        <v>#REF!</v>
      </c>
      <c r="U143" s="33" t="e">
        <f t="shared" si="43"/>
        <v>#REF!</v>
      </c>
      <c r="V143" s="33" t="e">
        <f t="shared" si="44"/>
        <v>#REF!</v>
      </c>
      <c r="W143" s="33" t="e">
        <f t="shared" si="45"/>
        <v>#REF!</v>
      </c>
      <c r="X143" s="33" t="e">
        <f t="shared" si="46"/>
        <v>#REF!</v>
      </c>
      <c r="Y143" s="131" t="s">
        <v>198</v>
      </c>
      <c r="Z143" s="35"/>
    </row>
    <row r="144" spans="1:26" x14ac:dyDescent="0.25">
      <c r="A144" s="84" t="s">
        <v>196</v>
      </c>
      <c r="B144" s="77" t="s">
        <v>199</v>
      </c>
      <c r="C144" s="29" t="e">
        <f>#REF!</f>
        <v>#REF!</v>
      </c>
      <c r="D144" s="29" t="e">
        <f>#REF!</f>
        <v>#REF!</v>
      </c>
      <c r="E144" s="29" t="e">
        <f>#REF!</f>
        <v>#REF!</v>
      </c>
      <c r="F144" s="29" t="e">
        <f>#REF!</f>
        <v>#REF!</v>
      </c>
      <c r="G144" s="29" t="e">
        <f>#REF!</f>
        <v>#REF!</v>
      </c>
      <c r="H144" s="29" t="e">
        <f>#REF!</f>
        <v>#REF!</v>
      </c>
      <c r="I144" s="29" t="e">
        <f>#REF!</f>
        <v>#REF!</v>
      </c>
      <c r="J144" s="29" t="e">
        <f>#REF!</f>
        <v>#REF!</v>
      </c>
      <c r="K144" s="29" t="e">
        <f>#REF!</f>
        <v>#REF!</v>
      </c>
      <c r="L144" s="29" t="e">
        <f>#REF!</f>
        <v>#REF!</v>
      </c>
      <c r="M144" s="135">
        <v>2500</v>
      </c>
      <c r="N144" s="135">
        <v>1</v>
      </c>
      <c r="O144" s="33" t="e">
        <f t="shared" si="52"/>
        <v>#REF!</v>
      </c>
      <c r="P144" s="33" t="e">
        <f t="shared" si="53"/>
        <v>#REF!</v>
      </c>
      <c r="Q144" s="33" t="e">
        <f t="shared" si="54"/>
        <v>#REF!</v>
      </c>
      <c r="R144" s="33" t="e">
        <f t="shared" si="55"/>
        <v>#REF!</v>
      </c>
      <c r="S144" s="33" t="e">
        <f t="shared" si="56"/>
        <v>#REF!</v>
      </c>
      <c r="T144" s="33" t="e">
        <f t="shared" si="42"/>
        <v>#REF!</v>
      </c>
      <c r="U144" s="33" t="e">
        <f t="shared" si="43"/>
        <v>#REF!</v>
      </c>
      <c r="V144" s="33" t="e">
        <f t="shared" si="44"/>
        <v>#REF!</v>
      </c>
      <c r="W144" s="33" t="e">
        <f t="shared" si="45"/>
        <v>#REF!</v>
      </c>
      <c r="X144" s="33" t="e">
        <f t="shared" si="46"/>
        <v>#REF!</v>
      </c>
      <c r="Y144" s="131" t="s">
        <v>198</v>
      </c>
      <c r="Z144" s="35"/>
    </row>
    <row r="145" spans="1:26" x14ac:dyDescent="0.25">
      <c r="A145" s="161" t="s">
        <v>65</v>
      </c>
      <c r="B145" s="162"/>
      <c r="C145" s="29" t="e">
        <f>#REF!</f>
        <v>#REF!</v>
      </c>
      <c r="D145" s="29" t="e">
        <f>#REF!</f>
        <v>#REF!</v>
      </c>
      <c r="E145" s="29" t="e">
        <f>#REF!</f>
        <v>#REF!</v>
      </c>
      <c r="F145" s="29" t="e">
        <f>#REF!</f>
        <v>#REF!</v>
      </c>
      <c r="G145" s="29" t="e">
        <f>#REF!</f>
        <v>#REF!</v>
      </c>
      <c r="H145" s="29" t="e">
        <f>#REF!</f>
        <v>#REF!</v>
      </c>
      <c r="I145" s="29" t="e">
        <f>#REF!</f>
        <v>#REF!</v>
      </c>
      <c r="J145" s="29" t="e">
        <f>#REF!</f>
        <v>#REF!</v>
      </c>
      <c r="K145" s="29" t="e">
        <f>#REF!</f>
        <v>#REF!</v>
      </c>
      <c r="L145" s="29" t="e">
        <f>#REF!</f>
        <v>#REF!</v>
      </c>
      <c r="M145" s="135">
        <v>2500</v>
      </c>
      <c r="N145" s="135">
        <v>1</v>
      </c>
      <c r="O145" s="33" t="e">
        <f t="shared" si="52"/>
        <v>#REF!</v>
      </c>
      <c r="P145" s="33" t="e">
        <f t="shared" si="53"/>
        <v>#REF!</v>
      </c>
      <c r="Q145" s="33" t="e">
        <f t="shared" si="54"/>
        <v>#REF!</v>
      </c>
      <c r="R145" s="33" t="e">
        <f t="shared" si="55"/>
        <v>#REF!</v>
      </c>
      <c r="S145" s="33" t="e">
        <f t="shared" si="56"/>
        <v>#REF!</v>
      </c>
      <c r="T145" s="33" t="e">
        <f t="shared" si="42"/>
        <v>#REF!</v>
      </c>
      <c r="U145" s="33" t="e">
        <f t="shared" si="43"/>
        <v>#REF!</v>
      </c>
      <c r="V145" s="33" t="e">
        <f t="shared" si="44"/>
        <v>#REF!</v>
      </c>
      <c r="W145" s="33" t="e">
        <f t="shared" si="45"/>
        <v>#REF!</v>
      </c>
      <c r="X145" s="33" t="e">
        <f t="shared" si="46"/>
        <v>#REF!</v>
      </c>
      <c r="Y145" s="132"/>
      <c r="Z145" s="35"/>
    </row>
    <row r="146" spans="1:26" x14ac:dyDescent="0.25">
      <c r="A146" s="84" t="s">
        <v>67</v>
      </c>
      <c r="B146" s="77" t="s">
        <v>199</v>
      </c>
      <c r="C146" s="29" t="e">
        <f>#REF!</f>
        <v>#REF!</v>
      </c>
      <c r="D146" s="29" t="e">
        <f>#REF!</f>
        <v>#REF!</v>
      </c>
      <c r="E146" s="29" t="e">
        <f>#REF!</f>
        <v>#REF!</v>
      </c>
      <c r="F146" s="29" t="e">
        <f>#REF!</f>
        <v>#REF!</v>
      </c>
      <c r="G146" s="29" t="e">
        <f>#REF!</f>
        <v>#REF!</v>
      </c>
      <c r="H146" s="29" t="e">
        <f>#REF!</f>
        <v>#REF!</v>
      </c>
      <c r="I146" s="29" t="e">
        <f>#REF!</f>
        <v>#REF!</v>
      </c>
      <c r="J146" s="29" t="e">
        <f>#REF!</f>
        <v>#REF!</v>
      </c>
      <c r="K146" s="29" t="e">
        <f>#REF!</f>
        <v>#REF!</v>
      </c>
      <c r="L146" s="29" t="e">
        <f>#REF!</f>
        <v>#REF!</v>
      </c>
      <c r="M146" s="135">
        <v>2500</v>
      </c>
      <c r="N146" s="135">
        <v>1</v>
      </c>
      <c r="O146" s="33" t="e">
        <f t="shared" si="52"/>
        <v>#REF!</v>
      </c>
      <c r="P146" s="33" t="e">
        <f t="shared" si="53"/>
        <v>#REF!</v>
      </c>
      <c r="Q146" s="33" t="e">
        <f t="shared" si="54"/>
        <v>#REF!</v>
      </c>
      <c r="R146" s="33" t="e">
        <f t="shared" si="55"/>
        <v>#REF!</v>
      </c>
      <c r="S146" s="33" t="e">
        <f t="shared" si="56"/>
        <v>#REF!</v>
      </c>
      <c r="T146" s="33" t="e">
        <f t="shared" si="42"/>
        <v>#REF!</v>
      </c>
      <c r="U146" s="33" t="e">
        <f t="shared" si="43"/>
        <v>#REF!</v>
      </c>
      <c r="V146" s="33" t="e">
        <f t="shared" si="44"/>
        <v>#REF!</v>
      </c>
      <c r="W146" s="33" t="e">
        <f t="shared" si="45"/>
        <v>#REF!</v>
      </c>
      <c r="X146" s="33" t="e">
        <f t="shared" si="46"/>
        <v>#REF!</v>
      </c>
      <c r="Y146" s="131" t="s">
        <v>198</v>
      </c>
      <c r="Z146" s="35"/>
    </row>
    <row r="147" spans="1:26" x14ac:dyDescent="0.25">
      <c r="A147" s="84" t="s">
        <v>197</v>
      </c>
      <c r="B147" s="77" t="s">
        <v>199</v>
      </c>
      <c r="C147" s="29" t="e">
        <f>#REF!</f>
        <v>#REF!</v>
      </c>
      <c r="D147" s="29" t="e">
        <f>#REF!</f>
        <v>#REF!</v>
      </c>
      <c r="E147" s="29" t="e">
        <f>#REF!</f>
        <v>#REF!</v>
      </c>
      <c r="F147" s="29" t="e">
        <f>#REF!</f>
        <v>#REF!</v>
      </c>
      <c r="G147" s="29" t="e">
        <f>#REF!</f>
        <v>#REF!</v>
      </c>
      <c r="H147" s="29" t="e">
        <f>#REF!</f>
        <v>#REF!</v>
      </c>
      <c r="I147" s="29" t="e">
        <f>#REF!</f>
        <v>#REF!</v>
      </c>
      <c r="J147" s="29" t="e">
        <f>#REF!</f>
        <v>#REF!</v>
      </c>
      <c r="K147" s="29" t="e">
        <f>#REF!</f>
        <v>#REF!</v>
      </c>
      <c r="L147" s="29" t="e">
        <f>#REF!</f>
        <v>#REF!</v>
      </c>
      <c r="M147" s="135">
        <v>2500</v>
      </c>
      <c r="N147" s="135">
        <v>1</v>
      </c>
      <c r="O147" s="33" t="e">
        <f t="shared" si="52"/>
        <v>#REF!</v>
      </c>
      <c r="P147" s="33" t="e">
        <f t="shared" si="53"/>
        <v>#REF!</v>
      </c>
      <c r="Q147" s="33" t="e">
        <f t="shared" si="54"/>
        <v>#REF!</v>
      </c>
      <c r="R147" s="33" t="e">
        <f t="shared" si="55"/>
        <v>#REF!</v>
      </c>
      <c r="S147" s="33" t="e">
        <f t="shared" si="56"/>
        <v>#REF!</v>
      </c>
      <c r="T147" s="33" t="e">
        <f t="shared" si="42"/>
        <v>#REF!</v>
      </c>
      <c r="U147" s="33" t="e">
        <f t="shared" si="43"/>
        <v>#REF!</v>
      </c>
      <c r="V147" s="33" t="e">
        <f t="shared" si="44"/>
        <v>#REF!</v>
      </c>
      <c r="W147" s="33" t="e">
        <f t="shared" si="45"/>
        <v>#REF!</v>
      </c>
      <c r="X147" s="33" t="e">
        <f t="shared" si="46"/>
        <v>#REF!</v>
      </c>
      <c r="Y147" s="131" t="s">
        <v>198</v>
      </c>
      <c r="Z147" s="35"/>
    </row>
    <row r="148" spans="1:26" x14ac:dyDescent="0.25">
      <c r="A148" s="161" t="s">
        <v>69</v>
      </c>
      <c r="B148" s="162"/>
      <c r="C148" s="29" t="e">
        <f>#REF!</f>
        <v>#REF!</v>
      </c>
      <c r="D148" s="29" t="e">
        <f>#REF!</f>
        <v>#REF!</v>
      </c>
      <c r="E148" s="29" t="e">
        <f>#REF!</f>
        <v>#REF!</v>
      </c>
      <c r="F148" s="29" t="e">
        <f>#REF!</f>
        <v>#REF!</v>
      </c>
      <c r="G148" s="29" t="e">
        <f>#REF!</f>
        <v>#REF!</v>
      </c>
      <c r="H148" s="29" t="e">
        <f>#REF!</f>
        <v>#REF!</v>
      </c>
      <c r="I148" s="29" t="e">
        <f>#REF!</f>
        <v>#REF!</v>
      </c>
      <c r="J148" s="29" t="e">
        <f>#REF!</f>
        <v>#REF!</v>
      </c>
      <c r="K148" s="29" t="e">
        <f>#REF!</f>
        <v>#REF!</v>
      </c>
      <c r="L148" s="29" t="e">
        <f>#REF!</f>
        <v>#REF!</v>
      </c>
      <c r="M148" s="135">
        <v>2500</v>
      </c>
      <c r="N148" s="135">
        <v>1</v>
      </c>
      <c r="O148" s="33" t="e">
        <f t="shared" si="52"/>
        <v>#REF!</v>
      </c>
      <c r="P148" s="33" t="e">
        <f t="shared" si="53"/>
        <v>#REF!</v>
      </c>
      <c r="Q148" s="33" t="e">
        <f t="shared" si="54"/>
        <v>#REF!</v>
      </c>
      <c r="R148" s="33" t="e">
        <f t="shared" si="55"/>
        <v>#REF!</v>
      </c>
      <c r="S148" s="33" t="e">
        <f t="shared" si="56"/>
        <v>#REF!</v>
      </c>
      <c r="T148" s="33" t="e">
        <f t="shared" si="42"/>
        <v>#REF!</v>
      </c>
      <c r="U148" s="33" t="e">
        <f t="shared" si="43"/>
        <v>#REF!</v>
      </c>
      <c r="V148" s="33" t="e">
        <f t="shared" si="44"/>
        <v>#REF!</v>
      </c>
      <c r="W148" s="33" t="e">
        <f t="shared" si="45"/>
        <v>#REF!</v>
      </c>
      <c r="X148" s="33" t="e">
        <f t="shared" si="46"/>
        <v>#REF!</v>
      </c>
      <c r="Y148" s="132"/>
      <c r="Z148" s="35"/>
    </row>
    <row r="149" spans="1:26" x14ac:dyDescent="0.25">
      <c r="A149" s="161" t="s">
        <v>70</v>
      </c>
      <c r="B149" s="162"/>
      <c r="C149" s="29" t="e">
        <f>#REF!</f>
        <v>#REF!</v>
      </c>
      <c r="D149" s="29" t="e">
        <f>#REF!</f>
        <v>#REF!</v>
      </c>
      <c r="E149" s="29" t="e">
        <f>#REF!</f>
        <v>#REF!</v>
      </c>
      <c r="F149" s="29" t="e">
        <f>#REF!</f>
        <v>#REF!</v>
      </c>
      <c r="G149" s="29" t="e">
        <f>#REF!</f>
        <v>#REF!</v>
      </c>
      <c r="H149" s="29" t="e">
        <f>#REF!</f>
        <v>#REF!</v>
      </c>
      <c r="I149" s="29" t="e">
        <f>#REF!</f>
        <v>#REF!</v>
      </c>
      <c r="J149" s="29" t="e">
        <f>#REF!</f>
        <v>#REF!</v>
      </c>
      <c r="K149" s="29" t="e">
        <f>#REF!</f>
        <v>#REF!</v>
      </c>
      <c r="L149" s="29" t="e">
        <f>#REF!</f>
        <v>#REF!</v>
      </c>
      <c r="M149" s="135">
        <v>2500</v>
      </c>
      <c r="N149" s="135">
        <v>1</v>
      </c>
      <c r="O149" s="33" t="e">
        <f t="shared" si="52"/>
        <v>#REF!</v>
      </c>
      <c r="P149" s="33" t="e">
        <f t="shared" si="53"/>
        <v>#REF!</v>
      </c>
      <c r="Q149" s="33" t="e">
        <f t="shared" si="54"/>
        <v>#REF!</v>
      </c>
      <c r="R149" s="33" t="e">
        <f t="shared" si="55"/>
        <v>#REF!</v>
      </c>
      <c r="S149" s="33" t="e">
        <f t="shared" si="56"/>
        <v>#REF!</v>
      </c>
      <c r="T149" s="33" t="e">
        <f t="shared" si="42"/>
        <v>#REF!</v>
      </c>
      <c r="U149" s="33" t="e">
        <f t="shared" si="43"/>
        <v>#REF!</v>
      </c>
      <c r="V149" s="33" t="e">
        <f t="shared" si="44"/>
        <v>#REF!</v>
      </c>
      <c r="W149" s="33" t="e">
        <f t="shared" si="45"/>
        <v>#REF!</v>
      </c>
      <c r="X149" s="33" t="e">
        <f t="shared" si="46"/>
        <v>#REF!</v>
      </c>
      <c r="Y149" s="132"/>
      <c r="Z149" s="35"/>
    </row>
    <row r="150" spans="1:26" x14ac:dyDescent="0.25">
      <c r="A150" s="164" t="s">
        <v>71</v>
      </c>
      <c r="B150" s="126"/>
      <c r="C150" s="29" t="e">
        <f>#REF!</f>
        <v>#REF!</v>
      </c>
      <c r="D150" s="29" t="e">
        <f>#REF!</f>
        <v>#REF!</v>
      </c>
      <c r="E150" s="29" t="e">
        <f>#REF!</f>
        <v>#REF!</v>
      </c>
      <c r="F150" s="29" t="e">
        <f>#REF!</f>
        <v>#REF!</v>
      </c>
      <c r="G150" s="29" t="e">
        <f>#REF!</f>
        <v>#REF!</v>
      </c>
      <c r="H150" s="29" t="e">
        <f>#REF!</f>
        <v>#REF!</v>
      </c>
      <c r="I150" s="29" t="e">
        <f>#REF!</f>
        <v>#REF!</v>
      </c>
      <c r="J150" s="29" t="e">
        <f>#REF!</f>
        <v>#REF!</v>
      </c>
      <c r="K150" s="29" t="e">
        <f>#REF!</f>
        <v>#REF!</v>
      </c>
      <c r="L150" s="29" t="e">
        <f>#REF!</f>
        <v>#REF!</v>
      </c>
      <c r="M150" s="135">
        <v>2500</v>
      </c>
      <c r="N150" s="135">
        <v>1</v>
      </c>
      <c r="O150" s="33" t="e">
        <f t="shared" si="52"/>
        <v>#REF!</v>
      </c>
      <c r="P150" s="33" t="e">
        <f t="shared" si="53"/>
        <v>#REF!</v>
      </c>
      <c r="Q150" s="33" t="e">
        <f t="shared" si="54"/>
        <v>#REF!</v>
      </c>
      <c r="R150" s="33" t="e">
        <f t="shared" si="55"/>
        <v>#REF!</v>
      </c>
      <c r="S150" s="33" t="e">
        <f t="shared" si="56"/>
        <v>#REF!</v>
      </c>
      <c r="T150" s="33" t="e">
        <f t="shared" si="42"/>
        <v>#REF!</v>
      </c>
      <c r="U150" s="33" t="e">
        <f t="shared" si="43"/>
        <v>#REF!</v>
      </c>
      <c r="V150" s="33" t="e">
        <f t="shared" si="44"/>
        <v>#REF!</v>
      </c>
      <c r="W150" s="33" t="e">
        <f t="shared" si="45"/>
        <v>#REF!</v>
      </c>
      <c r="X150" s="33" t="e">
        <f t="shared" si="46"/>
        <v>#REF!</v>
      </c>
      <c r="Y150" s="132"/>
      <c r="Z150" s="35"/>
    </row>
    <row r="151" spans="1:26" x14ac:dyDescent="0.25">
      <c r="A151" s="84" t="s">
        <v>72</v>
      </c>
      <c r="B151" s="77" t="s">
        <v>199</v>
      </c>
      <c r="C151" s="29" t="e">
        <f>#REF!</f>
        <v>#REF!</v>
      </c>
      <c r="D151" s="29" t="e">
        <f>#REF!</f>
        <v>#REF!</v>
      </c>
      <c r="E151" s="29" t="e">
        <f>#REF!</f>
        <v>#REF!</v>
      </c>
      <c r="F151" s="29" t="e">
        <f>#REF!</f>
        <v>#REF!</v>
      </c>
      <c r="G151" s="29" t="e">
        <f>#REF!</f>
        <v>#REF!</v>
      </c>
      <c r="H151" s="29" t="e">
        <f>#REF!</f>
        <v>#REF!</v>
      </c>
      <c r="I151" s="29" t="e">
        <f>#REF!</f>
        <v>#REF!</v>
      </c>
      <c r="J151" s="29" t="e">
        <f>#REF!</f>
        <v>#REF!</v>
      </c>
      <c r="K151" s="29" t="e">
        <f>#REF!</f>
        <v>#REF!</v>
      </c>
      <c r="L151" s="29" t="e">
        <f>#REF!</f>
        <v>#REF!</v>
      </c>
      <c r="M151" s="135">
        <v>2500</v>
      </c>
      <c r="N151" s="135">
        <v>1</v>
      </c>
      <c r="O151" s="33" t="e">
        <f t="shared" si="52"/>
        <v>#REF!</v>
      </c>
      <c r="P151" s="33" t="e">
        <f t="shared" si="53"/>
        <v>#REF!</v>
      </c>
      <c r="Q151" s="33" t="e">
        <f t="shared" si="54"/>
        <v>#REF!</v>
      </c>
      <c r="R151" s="33" t="e">
        <f t="shared" si="55"/>
        <v>#REF!</v>
      </c>
      <c r="S151" s="33" t="e">
        <f t="shared" si="56"/>
        <v>#REF!</v>
      </c>
      <c r="T151" s="33" t="e">
        <f t="shared" si="42"/>
        <v>#REF!</v>
      </c>
      <c r="U151" s="33" t="e">
        <f t="shared" si="43"/>
        <v>#REF!</v>
      </c>
      <c r="V151" s="33" t="e">
        <f t="shared" si="44"/>
        <v>#REF!</v>
      </c>
      <c r="W151" s="33" t="e">
        <f t="shared" si="45"/>
        <v>#REF!</v>
      </c>
      <c r="X151" s="33" t="e">
        <f t="shared" si="46"/>
        <v>#REF!</v>
      </c>
      <c r="Y151" s="131" t="s">
        <v>198</v>
      </c>
      <c r="Z151" s="35"/>
    </row>
    <row r="152" spans="1:26" x14ac:dyDescent="0.25">
      <c r="A152" s="23" t="s">
        <v>73</v>
      </c>
      <c r="B152" s="88" t="s">
        <v>203</v>
      </c>
      <c r="C152" s="29" t="e">
        <f>#REF!</f>
        <v>#REF!</v>
      </c>
      <c r="D152" s="29" t="e">
        <f>#REF!</f>
        <v>#REF!</v>
      </c>
      <c r="E152" s="29" t="e">
        <f>#REF!</f>
        <v>#REF!</v>
      </c>
      <c r="F152" s="29" t="e">
        <f>#REF!</f>
        <v>#REF!</v>
      </c>
      <c r="G152" s="29" t="e">
        <f>#REF!</f>
        <v>#REF!</v>
      </c>
      <c r="H152" s="29" t="e">
        <f>#REF!</f>
        <v>#REF!</v>
      </c>
      <c r="I152" s="29" t="e">
        <f>#REF!</f>
        <v>#REF!</v>
      </c>
      <c r="J152" s="29" t="e">
        <f>#REF!</f>
        <v>#REF!</v>
      </c>
      <c r="K152" s="29" t="e">
        <f>#REF!</f>
        <v>#REF!</v>
      </c>
      <c r="L152" s="29" t="e">
        <f>#REF!</f>
        <v>#REF!</v>
      </c>
      <c r="M152" s="135">
        <v>2500</v>
      </c>
      <c r="N152" s="135">
        <v>1</v>
      </c>
      <c r="O152" s="33" t="e">
        <f t="shared" si="52"/>
        <v>#REF!</v>
      </c>
      <c r="P152" s="33" t="e">
        <f t="shared" si="53"/>
        <v>#REF!</v>
      </c>
      <c r="Q152" s="33" t="e">
        <f t="shared" si="54"/>
        <v>#REF!</v>
      </c>
      <c r="R152" s="33" t="e">
        <f t="shared" si="55"/>
        <v>#REF!</v>
      </c>
      <c r="S152" s="33" t="e">
        <f t="shared" si="56"/>
        <v>#REF!</v>
      </c>
      <c r="T152" s="33" t="e">
        <f t="shared" si="42"/>
        <v>#REF!</v>
      </c>
      <c r="U152" s="33" t="e">
        <f t="shared" si="43"/>
        <v>#REF!</v>
      </c>
      <c r="V152" s="33" t="e">
        <f t="shared" si="44"/>
        <v>#REF!</v>
      </c>
      <c r="W152" s="33" t="e">
        <f t="shared" si="45"/>
        <v>#REF!</v>
      </c>
      <c r="X152" s="33" t="e">
        <f t="shared" si="46"/>
        <v>#REF!</v>
      </c>
      <c r="Y152" s="130" t="s">
        <v>128</v>
      </c>
      <c r="Z152" s="35" t="s">
        <v>134</v>
      </c>
    </row>
    <row r="154" spans="1:26" x14ac:dyDescent="0.25">
      <c r="A154" s="89" t="s">
        <v>275</v>
      </c>
    </row>
    <row r="155" spans="1:26" x14ac:dyDescent="0.25">
      <c r="A155" s="152" t="s">
        <v>81</v>
      </c>
    </row>
    <row r="156" spans="1:26" x14ac:dyDescent="0.25">
      <c r="A156" s="153" t="s">
        <v>128</v>
      </c>
    </row>
    <row r="157" spans="1:26" x14ac:dyDescent="0.25">
      <c r="A157" s="154" t="s">
        <v>202</v>
      </c>
      <c r="B157" s="78"/>
    </row>
    <row r="158" spans="1:26" x14ac:dyDescent="0.25">
      <c r="A158" s="155" t="s">
        <v>85</v>
      </c>
      <c r="B158" s="78"/>
    </row>
    <row r="159" spans="1:26" x14ac:dyDescent="0.25">
      <c r="A159" s="155" t="s">
        <v>423</v>
      </c>
    </row>
    <row r="160" spans="1:26" ht="30" x14ac:dyDescent="0.25">
      <c r="A160" s="238" t="s">
        <v>414</v>
      </c>
    </row>
    <row r="161" spans="1:16" x14ac:dyDescent="0.25">
      <c r="A161" s="89" t="s">
        <v>204</v>
      </c>
    </row>
    <row r="162" spans="1:16" x14ac:dyDescent="0.25">
      <c r="A162" s="89"/>
    </row>
    <row r="163" spans="1:16" x14ac:dyDescent="0.25">
      <c r="A163" s="89" t="s">
        <v>205</v>
      </c>
      <c r="D163" s="83"/>
    </row>
    <row r="164" spans="1:16" x14ac:dyDescent="0.25">
      <c r="A164" s="89"/>
      <c r="D164" s="83"/>
    </row>
    <row r="165" spans="1:16" x14ac:dyDescent="0.25">
      <c r="A165" s="151" t="s">
        <v>243</v>
      </c>
      <c r="B165" s="138"/>
      <c r="C165" t="s">
        <v>207</v>
      </c>
      <c r="D165" s="83"/>
      <c r="M165" s="151" t="s">
        <v>244</v>
      </c>
      <c r="N165" s="138"/>
    </row>
    <row r="166" spans="1:16" x14ac:dyDescent="0.25">
      <c r="A166" s="138"/>
      <c r="B166" s="138"/>
      <c r="D166" s="83"/>
      <c r="M166" s="138"/>
      <c r="N166" s="138"/>
    </row>
    <row r="167" spans="1:16" x14ac:dyDescent="0.25">
      <c r="A167" s="139" t="s">
        <v>245</v>
      </c>
      <c r="B167" s="139" t="s">
        <v>246</v>
      </c>
      <c r="D167" s="83"/>
      <c r="M167" s="139" t="s">
        <v>245</v>
      </c>
      <c r="N167" s="801" t="s">
        <v>246</v>
      </c>
      <c r="O167" s="801"/>
      <c r="P167" s="801"/>
    </row>
    <row r="168" spans="1:16" x14ac:dyDescent="0.25">
      <c r="A168" s="149" t="s">
        <v>6</v>
      </c>
      <c r="B168" s="142" t="s">
        <v>247</v>
      </c>
      <c r="D168" s="83"/>
      <c r="M168" s="149" t="s">
        <v>17</v>
      </c>
      <c r="N168" s="788" t="s">
        <v>16</v>
      </c>
      <c r="O168" s="788"/>
      <c r="P168" s="788"/>
    </row>
    <row r="169" spans="1:16" x14ac:dyDescent="0.25">
      <c r="A169" s="149" t="s">
        <v>47</v>
      </c>
      <c r="B169" s="142" t="s">
        <v>248</v>
      </c>
      <c r="D169" s="83"/>
      <c r="M169" s="149" t="s">
        <v>141</v>
      </c>
      <c r="N169" s="788" t="s">
        <v>249</v>
      </c>
      <c r="O169" s="788"/>
      <c r="P169" s="788"/>
    </row>
    <row r="170" spans="1:16" x14ac:dyDescent="0.25">
      <c r="A170" s="149" t="s">
        <v>1</v>
      </c>
      <c r="B170" s="142" t="s">
        <v>16</v>
      </c>
      <c r="D170" s="83"/>
      <c r="M170" s="149" t="s">
        <v>250</v>
      </c>
      <c r="N170" s="788" t="s">
        <v>64</v>
      </c>
      <c r="O170" s="788"/>
      <c r="P170" s="788"/>
    </row>
    <row r="171" spans="1:16" x14ac:dyDescent="0.25">
      <c r="A171" s="149" t="s">
        <v>57</v>
      </c>
      <c r="B171" s="142" t="s">
        <v>58</v>
      </c>
      <c r="D171" s="83"/>
      <c r="M171" s="149" t="s">
        <v>73</v>
      </c>
      <c r="N171" s="788" t="s">
        <v>36</v>
      </c>
      <c r="O171" s="788"/>
      <c r="P171" s="788"/>
    </row>
    <row r="172" spans="1:16" ht="15" customHeight="1" x14ac:dyDescent="0.25">
      <c r="A172" s="149" t="s">
        <v>251</v>
      </c>
      <c r="B172" s="142" t="s">
        <v>13</v>
      </c>
      <c r="D172" s="83"/>
      <c r="M172" s="148" t="s">
        <v>0</v>
      </c>
      <c r="N172" s="788" t="s">
        <v>247</v>
      </c>
      <c r="O172" s="788"/>
      <c r="P172" s="788"/>
    </row>
    <row r="173" spans="1:16" ht="15" customHeight="1" x14ac:dyDescent="0.25">
      <c r="A173" s="149" t="s">
        <v>1</v>
      </c>
      <c r="B173" s="142" t="s">
        <v>249</v>
      </c>
      <c r="D173" s="83"/>
      <c r="M173" s="148" t="s">
        <v>252</v>
      </c>
      <c r="N173" s="788" t="s">
        <v>253</v>
      </c>
      <c r="O173" s="788"/>
      <c r="P173" s="788"/>
    </row>
    <row r="174" spans="1:16" x14ac:dyDescent="0.25">
      <c r="A174" s="149" t="s">
        <v>1</v>
      </c>
      <c r="B174" s="142" t="s">
        <v>64</v>
      </c>
      <c r="M174" s="148" t="s">
        <v>254</v>
      </c>
      <c r="N174" s="788" t="s">
        <v>105</v>
      </c>
      <c r="O174" s="788"/>
      <c r="P174" s="788"/>
    </row>
    <row r="175" spans="1:16" x14ac:dyDescent="0.25">
      <c r="A175" s="149" t="s">
        <v>73</v>
      </c>
      <c r="B175" s="142" t="s">
        <v>36</v>
      </c>
      <c r="M175" s="148" t="s">
        <v>252</v>
      </c>
      <c r="N175" s="788" t="s">
        <v>108</v>
      </c>
      <c r="O175" s="788"/>
      <c r="P175" s="788"/>
    </row>
    <row r="176" spans="1:16" x14ac:dyDescent="0.25">
      <c r="A176" s="146" t="s">
        <v>255</v>
      </c>
      <c r="B176" s="150" t="s">
        <v>105</v>
      </c>
      <c r="M176" s="148" t="s">
        <v>54</v>
      </c>
      <c r="N176" s="788" t="s">
        <v>256</v>
      </c>
      <c r="O176" s="788"/>
      <c r="P176" s="788"/>
    </row>
    <row r="177" spans="1:16" x14ac:dyDescent="0.25">
      <c r="A177" s="147" t="s">
        <v>52</v>
      </c>
      <c r="B177" s="150" t="s">
        <v>253</v>
      </c>
      <c r="M177" s="148" t="s">
        <v>254</v>
      </c>
      <c r="N177" s="788" t="s">
        <v>257</v>
      </c>
      <c r="O177" s="788"/>
      <c r="P177" s="788"/>
    </row>
    <row r="178" spans="1:16" x14ac:dyDescent="0.25">
      <c r="A178" s="147" t="s">
        <v>52</v>
      </c>
      <c r="B178" s="150" t="s">
        <v>108</v>
      </c>
      <c r="M178" s="149" t="s">
        <v>73</v>
      </c>
      <c r="N178" s="788" t="s">
        <v>258</v>
      </c>
      <c r="O178" s="788"/>
      <c r="P178" s="788"/>
    </row>
    <row r="179" spans="1:16" x14ac:dyDescent="0.25">
      <c r="A179" s="146" t="s">
        <v>255</v>
      </c>
      <c r="B179" s="150" t="s">
        <v>257</v>
      </c>
      <c r="M179" s="148" t="s">
        <v>259</v>
      </c>
      <c r="N179" s="788" t="s">
        <v>22</v>
      </c>
      <c r="O179" s="788"/>
      <c r="P179" s="788"/>
    </row>
    <row r="180" spans="1:16" x14ac:dyDescent="0.25">
      <c r="A180" s="146" t="s">
        <v>6</v>
      </c>
      <c r="B180" s="150" t="s">
        <v>260</v>
      </c>
      <c r="M180" s="148" t="s">
        <v>254</v>
      </c>
      <c r="N180" s="788" t="s">
        <v>190</v>
      </c>
      <c r="O180" s="788"/>
      <c r="P180" s="788"/>
    </row>
    <row r="181" spans="1:16" x14ac:dyDescent="0.25">
      <c r="A181" s="149" t="s">
        <v>6</v>
      </c>
      <c r="B181" s="150" t="s">
        <v>8</v>
      </c>
      <c r="M181" s="148" t="s">
        <v>107</v>
      </c>
      <c r="N181" s="788" t="s">
        <v>35</v>
      </c>
      <c r="O181" s="788"/>
      <c r="P181" s="788"/>
    </row>
    <row r="182" spans="1:16" x14ac:dyDescent="0.25">
      <c r="A182" s="149" t="s">
        <v>73</v>
      </c>
      <c r="B182" s="150" t="s">
        <v>261</v>
      </c>
      <c r="M182" s="149" t="s">
        <v>107</v>
      </c>
      <c r="N182" s="788" t="s">
        <v>193</v>
      </c>
      <c r="O182" s="788"/>
      <c r="P182" s="788"/>
    </row>
    <row r="183" spans="1:16" x14ac:dyDescent="0.25">
      <c r="A183" s="148" t="s">
        <v>259</v>
      </c>
      <c r="B183" s="150" t="s">
        <v>22</v>
      </c>
      <c r="M183" s="148" t="s">
        <v>259</v>
      </c>
      <c r="N183" s="788" t="s">
        <v>22</v>
      </c>
      <c r="O183" s="788"/>
      <c r="P183" s="788"/>
    </row>
    <row r="184" spans="1:16" x14ac:dyDescent="0.25">
      <c r="A184" s="149" t="s">
        <v>61</v>
      </c>
      <c r="B184" s="150" t="s">
        <v>104</v>
      </c>
      <c r="M184" s="148" t="s">
        <v>254</v>
      </c>
      <c r="N184" s="788" t="s">
        <v>257</v>
      </c>
      <c r="O184" s="788"/>
      <c r="P184" s="788"/>
    </row>
    <row r="185" spans="1:16" x14ac:dyDescent="0.25">
      <c r="A185" s="149" t="s">
        <v>59</v>
      </c>
      <c r="B185" s="150" t="s">
        <v>171</v>
      </c>
      <c r="M185" s="148" t="s">
        <v>252</v>
      </c>
      <c r="N185" s="788" t="s">
        <v>194</v>
      </c>
      <c r="O185" s="788"/>
      <c r="P185" s="788"/>
    </row>
    <row r="186" spans="1:16" x14ac:dyDescent="0.25">
      <c r="A186" s="149" t="s">
        <v>59</v>
      </c>
      <c r="B186" s="150" t="s">
        <v>157</v>
      </c>
      <c r="M186" s="148" t="s">
        <v>262</v>
      </c>
      <c r="N186" s="788" t="s">
        <v>197</v>
      </c>
      <c r="O186" s="788"/>
      <c r="P186" s="788"/>
    </row>
    <row r="187" spans="1:16" x14ac:dyDescent="0.25">
      <c r="A187" s="146" t="s">
        <v>255</v>
      </c>
      <c r="B187" s="150" t="s">
        <v>190</v>
      </c>
      <c r="M187" s="148" t="s">
        <v>259</v>
      </c>
      <c r="N187" s="788" t="s">
        <v>188</v>
      </c>
      <c r="O187" s="788"/>
      <c r="P187" s="788"/>
    </row>
    <row r="188" spans="1:16" x14ac:dyDescent="0.25">
      <c r="A188" s="146" t="s">
        <v>255</v>
      </c>
      <c r="B188" s="150" t="s">
        <v>190</v>
      </c>
      <c r="M188" s="149" t="s">
        <v>107</v>
      </c>
      <c r="N188" s="788" t="s">
        <v>193</v>
      </c>
      <c r="O188" s="788"/>
      <c r="P188" s="788"/>
    </row>
    <row r="189" spans="1:16" x14ac:dyDescent="0.25">
      <c r="A189" s="149" t="s">
        <v>59</v>
      </c>
      <c r="B189" s="150" t="s">
        <v>263</v>
      </c>
      <c r="M189" s="148" t="s">
        <v>0</v>
      </c>
      <c r="N189" s="788" t="s">
        <v>30</v>
      </c>
      <c r="O189" s="788"/>
      <c r="P189" s="788"/>
    </row>
    <row r="190" spans="1:16" x14ac:dyDescent="0.25">
      <c r="A190" s="149" t="s">
        <v>107</v>
      </c>
      <c r="B190" s="150" t="s">
        <v>35</v>
      </c>
      <c r="M190" s="149" t="s">
        <v>107</v>
      </c>
      <c r="N190" s="788" t="s">
        <v>264</v>
      </c>
      <c r="O190" s="788"/>
      <c r="P190" s="788"/>
    </row>
    <row r="191" spans="1:16" x14ac:dyDescent="0.25">
      <c r="A191" s="146" t="s">
        <v>2</v>
      </c>
      <c r="B191" s="150" t="s">
        <v>141</v>
      </c>
      <c r="M191" s="149" t="s">
        <v>1</v>
      </c>
      <c r="N191" s="788" t="s">
        <v>106</v>
      </c>
      <c r="O191" s="788"/>
      <c r="P191" s="788"/>
    </row>
    <row r="192" spans="1:16" x14ac:dyDescent="0.25">
      <c r="A192" s="147" t="s">
        <v>52</v>
      </c>
      <c r="B192" s="150" t="s">
        <v>194</v>
      </c>
      <c r="M192" s="149" t="s">
        <v>265</v>
      </c>
      <c r="N192" s="788" t="s">
        <v>25</v>
      </c>
      <c r="O192" s="788"/>
      <c r="P192" s="788"/>
    </row>
    <row r="193" spans="1:16" x14ac:dyDescent="0.25">
      <c r="A193" s="149" t="s">
        <v>107</v>
      </c>
      <c r="B193" s="150" t="s">
        <v>193</v>
      </c>
      <c r="M193" s="149" t="s">
        <v>107</v>
      </c>
      <c r="N193" s="788" t="s">
        <v>35</v>
      </c>
      <c r="O193" s="788"/>
      <c r="P193" s="788"/>
    </row>
    <row r="194" spans="1:16" x14ac:dyDescent="0.25">
      <c r="A194" s="149" t="s">
        <v>1</v>
      </c>
      <c r="B194" s="147" t="s">
        <v>39</v>
      </c>
      <c r="M194" s="149" t="s">
        <v>262</v>
      </c>
      <c r="N194" s="788" t="s">
        <v>256</v>
      </c>
      <c r="O194" s="788"/>
      <c r="P194" s="788"/>
    </row>
    <row r="195" spans="1:16" x14ac:dyDescent="0.25">
      <c r="A195" s="149" t="s">
        <v>61</v>
      </c>
      <c r="B195" s="147" t="s">
        <v>104</v>
      </c>
      <c r="M195" s="149" t="s">
        <v>73</v>
      </c>
      <c r="N195" s="788" t="s">
        <v>258</v>
      </c>
      <c r="O195" s="788"/>
      <c r="P195" s="788"/>
    </row>
    <row r="196" spans="1:16" x14ac:dyDescent="0.25">
      <c r="A196" s="149" t="s">
        <v>59</v>
      </c>
      <c r="B196" s="147" t="s">
        <v>165</v>
      </c>
      <c r="M196" s="148" t="s">
        <v>252</v>
      </c>
      <c r="N196" s="788" t="s">
        <v>266</v>
      </c>
      <c r="O196" s="788"/>
      <c r="P196" s="788"/>
    </row>
    <row r="197" spans="1:16" x14ac:dyDescent="0.25">
      <c r="A197" s="149" t="s">
        <v>1</v>
      </c>
      <c r="B197" s="150" t="s">
        <v>197</v>
      </c>
      <c r="M197" s="148" t="s">
        <v>254</v>
      </c>
      <c r="N197" s="788" t="s">
        <v>189</v>
      </c>
      <c r="O197" s="788"/>
      <c r="P197" s="788"/>
    </row>
    <row r="198" spans="1:16" x14ac:dyDescent="0.25">
      <c r="A198" s="148" t="s">
        <v>259</v>
      </c>
      <c r="B198" s="147" t="s">
        <v>188</v>
      </c>
      <c r="M198" s="148" t="s">
        <v>267</v>
      </c>
      <c r="N198" s="788" t="s">
        <v>268</v>
      </c>
      <c r="O198" s="788"/>
      <c r="P198" s="788"/>
    </row>
    <row r="199" spans="1:16" x14ac:dyDescent="0.25">
      <c r="A199" s="149" t="s">
        <v>6</v>
      </c>
      <c r="B199" s="147" t="s">
        <v>30</v>
      </c>
      <c r="M199" s="148" t="s">
        <v>262</v>
      </c>
      <c r="N199" s="788" t="s">
        <v>21</v>
      </c>
      <c r="O199" s="788"/>
      <c r="P199" s="788"/>
    </row>
    <row r="200" spans="1:16" x14ac:dyDescent="0.25">
      <c r="A200" s="149" t="s">
        <v>107</v>
      </c>
      <c r="B200" s="147" t="s">
        <v>264</v>
      </c>
      <c r="M200" s="148" t="s">
        <v>100</v>
      </c>
      <c r="N200" s="788" t="s">
        <v>27</v>
      </c>
      <c r="O200" s="788"/>
      <c r="P200" s="788"/>
    </row>
    <row r="201" spans="1:16" x14ac:dyDescent="0.25">
      <c r="A201" s="149" t="s">
        <v>62</v>
      </c>
      <c r="B201" s="147" t="s">
        <v>98</v>
      </c>
      <c r="M201" s="148" t="s">
        <v>265</v>
      </c>
      <c r="N201" s="788" t="s">
        <v>26</v>
      </c>
      <c r="O201" s="788"/>
      <c r="P201" s="788"/>
    </row>
    <row r="202" spans="1:16" x14ac:dyDescent="0.25">
      <c r="A202" s="149" t="s">
        <v>1</v>
      </c>
      <c r="B202" s="147" t="s">
        <v>106</v>
      </c>
      <c r="M202" s="148" t="s">
        <v>100</v>
      </c>
      <c r="N202" s="788" t="s">
        <v>192</v>
      </c>
      <c r="O202" s="788"/>
      <c r="P202" s="788"/>
    </row>
    <row r="203" spans="1:16" x14ac:dyDescent="0.25">
      <c r="A203" s="149" t="s">
        <v>2</v>
      </c>
      <c r="B203" s="147" t="s">
        <v>15</v>
      </c>
      <c r="M203" s="148" t="s">
        <v>100</v>
      </c>
      <c r="N203" s="788" t="s">
        <v>269</v>
      </c>
      <c r="O203" s="788"/>
      <c r="P203" s="788"/>
    </row>
    <row r="204" spans="1:16" x14ac:dyDescent="0.25">
      <c r="A204" s="146" t="s">
        <v>2</v>
      </c>
      <c r="B204" s="147" t="s">
        <v>67</v>
      </c>
      <c r="M204" s="148" t="s">
        <v>254</v>
      </c>
      <c r="N204" s="788" t="s">
        <v>270</v>
      </c>
      <c r="O204" s="788"/>
      <c r="P204" s="788"/>
    </row>
    <row r="205" spans="1:16" x14ac:dyDescent="0.25">
      <c r="A205" s="149" t="s">
        <v>57</v>
      </c>
      <c r="B205" s="147" t="s">
        <v>25</v>
      </c>
      <c r="M205" s="148" t="s">
        <v>40</v>
      </c>
      <c r="N205" s="788" t="s">
        <v>271</v>
      </c>
      <c r="O205" s="788"/>
      <c r="P205" s="788"/>
    </row>
    <row r="206" spans="1:16" x14ac:dyDescent="0.25">
      <c r="A206" s="149" t="s">
        <v>57</v>
      </c>
      <c r="B206" s="147" t="s">
        <v>58</v>
      </c>
      <c r="M206" s="148" t="s">
        <v>54</v>
      </c>
      <c r="N206" s="788" t="s">
        <v>256</v>
      </c>
      <c r="O206" s="788"/>
      <c r="P206" s="788"/>
    </row>
    <row r="207" spans="1:16" x14ac:dyDescent="0.25">
      <c r="A207" s="149" t="s">
        <v>1</v>
      </c>
      <c r="B207" s="147" t="s">
        <v>196</v>
      </c>
      <c r="M207" s="148" t="s">
        <v>73</v>
      </c>
      <c r="N207" s="788" t="s">
        <v>258</v>
      </c>
      <c r="O207" s="788"/>
      <c r="P207" s="788"/>
    </row>
    <row r="208" spans="1:16" x14ac:dyDescent="0.25">
      <c r="A208" s="149" t="s">
        <v>6</v>
      </c>
      <c r="B208" s="147" t="s">
        <v>17</v>
      </c>
      <c r="M208" s="148" t="s">
        <v>1</v>
      </c>
      <c r="N208" s="788" t="s">
        <v>161</v>
      </c>
      <c r="O208" s="788"/>
      <c r="P208" s="788"/>
    </row>
    <row r="209" spans="1:16" x14ac:dyDescent="0.25">
      <c r="A209" s="146" t="s">
        <v>255</v>
      </c>
      <c r="B209" s="147" t="s">
        <v>189</v>
      </c>
      <c r="M209" s="148" t="s">
        <v>107</v>
      </c>
      <c r="N209" s="788" t="s">
        <v>272</v>
      </c>
      <c r="O209" s="788"/>
      <c r="P209" s="788"/>
    </row>
    <row r="210" spans="1:16" x14ac:dyDescent="0.25">
      <c r="A210" s="147" t="s">
        <v>52</v>
      </c>
      <c r="B210" s="147" t="s">
        <v>266</v>
      </c>
      <c r="M210" s="148" t="s">
        <v>103</v>
      </c>
      <c r="N210" s="788" t="s">
        <v>158</v>
      </c>
      <c r="O210" s="788"/>
      <c r="P210" s="788"/>
    </row>
    <row r="211" spans="1:16" x14ac:dyDescent="0.25">
      <c r="A211" s="149" t="s">
        <v>1</v>
      </c>
      <c r="B211" s="147" t="s">
        <v>196</v>
      </c>
      <c r="M211" s="140"/>
      <c r="N211" s="140"/>
    </row>
    <row r="212" spans="1:16" x14ac:dyDescent="0.25">
      <c r="A212" s="149" t="s">
        <v>1</v>
      </c>
      <c r="B212" s="147" t="s">
        <v>17</v>
      </c>
      <c r="M212" s="140"/>
      <c r="N212" s="140"/>
    </row>
    <row r="213" spans="1:16" x14ac:dyDescent="0.25">
      <c r="A213" s="149" t="s">
        <v>1</v>
      </c>
      <c r="B213" s="147" t="s">
        <v>54</v>
      </c>
      <c r="M213" s="140"/>
      <c r="N213" s="140"/>
    </row>
    <row r="214" spans="1:16" x14ac:dyDescent="0.25">
      <c r="A214" s="149" t="s">
        <v>2</v>
      </c>
      <c r="B214" s="147" t="s">
        <v>72</v>
      </c>
      <c r="M214" s="140"/>
      <c r="N214" s="140"/>
    </row>
    <row r="215" spans="1:16" x14ac:dyDescent="0.25">
      <c r="A215" s="149" t="s">
        <v>23</v>
      </c>
      <c r="B215" s="147" t="s">
        <v>259</v>
      </c>
      <c r="M215" s="140"/>
      <c r="N215" s="140"/>
    </row>
    <row r="216" spans="1:16" x14ac:dyDescent="0.25">
      <c r="A216" s="149" t="s">
        <v>23</v>
      </c>
      <c r="B216" s="147" t="s">
        <v>158</v>
      </c>
      <c r="M216" s="140"/>
      <c r="N216" s="140"/>
    </row>
    <row r="217" spans="1:16" x14ac:dyDescent="0.25">
      <c r="A217" s="149" t="s">
        <v>2</v>
      </c>
      <c r="B217" s="147" t="s">
        <v>268</v>
      </c>
      <c r="M217" s="140"/>
      <c r="N217" s="140"/>
    </row>
    <row r="218" spans="1:16" x14ac:dyDescent="0.25">
      <c r="A218" s="147" t="s">
        <v>52</v>
      </c>
      <c r="B218" s="147" t="s">
        <v>4</v>
      </c>
      <c r="M218" s="140"/>
      <c r="N218" s="140"/>
    </row>
    <row r="219" spans="1:16" x14ac:dyDescent="0.25">
      <c r="A219" s="147" t="s">
        <v>6</v>
      </c>
      <c r="B219" s="147" t="s">
        <v>21</v>
      </c>
      <c r="M219" s="140"/>
      <c r="N219" s="140"/>
    </row>
    <row r="220" spans="1:16" x14ac:dyDescent="0.25">
      <c r="A220" s="147" t="s">
        <v>100</v>
      </c>
      <c r="B220" s="147" t="s">
        <v>27</v>
      </c>
      <c r="M220" s="140"/>
      <c r="N220" s="140"/>
    </row>
    <row r="221" spans="1:16" x14ac:dyDescent="0.25">
      <c r="A221" s="147" t="s">
        <v>57</v>
      </c>
      <c r="B221" s="147" t="s">
        <v>26</v>
      </c>
      <c r="M221" s="140"/>
      <c r="N221" s="140"/>
    </row>
    <row r="222" spans="1:16" x14ac:dyDescent="0.25">
      <c r="A222" s="147" t="s">
        <v>100</v>
      </c>
      <c r="B222" s="147" t="s">
        <v>192</v>
      </c>
      <c r="M222" s="140"/>
      <c r="N222" s="140"/>
    </row>
    <row r="223" spans="1:16" x14ac:dyDescent="0.25">
      <c r="A223" s="147" t="s">
        <v>100</v>
      </c>
      <c r="B223" s="147" t="s">
        <v>269</v>
      </c>
      <c r="M223" s="140"/>
      <c r="N223" s="140"/>
    </row>
    <row r="224" spans="1:16" x14ac:dyDescent="0.25">
      <c r="A224" s="147" t="s">
        <v>255</v>
      </c>
      <c r="B224" s="147" t="s">
        <v>270</v>
      </c>
      <c r="M224" s="140"/>
      <c r="N224" s="140"/>
    </row>
    <row r="225" spans="1:2" x14ac:dyDescent="0.25">
      <c r="A225" s="147" t="s">
        <v>100</v>
      </c>
      <c r="B225" s="147" t="s">
        <v>271</v>
      </c>
    </row>
    <row r="226" spans="1:2" x14ac:dyDescent="0.25">
      <c r="A226" s="148" t="s">
        <v>1</v>
      </c>
      <c r="B226" s="147" t="s">
        <v>161</v>
      </c>
    </row>
    <row r="227" spans="1:2" x14ac:dyDescent="0.25">
      <c r="A227" s="148" t="s">
        <v>107</v>
      </c>
      <c r="B227" s="147" t="s">
        <v>272</v>
      </c>
    </row>
    <row r="228" spans="1:2" x14ac:dyDescent="0.25">
      <c r="A228" s="148" t="s">
        <v>103</v>
      </c>
      <c r="B228" s="147" t="s">
        <v>158</v>
      </c>
    </row>
  </sheetData>
  <autoFilter ref="A3:Z152" xr:uid="{00000000-0009-0000-0000-000011000000}"/>
  <mergeCells count="50">
    <mergeCell ref="A99:A101"/>
    <mergeCell ref="N172:P172"/>
    <mergeCell ref="A79:A80"/>
    <mergeCell ref="N167:P167"/>
    <mergeCell ref="N168:P168"/>
    <mergeCell ref="N169:P169"/>
    <mergeCell ref="N170:P170"/>
    <mergeCell ref="N171:P171"/>
    <mergeCell ref="N185:P185"/>
    <mergeCell ref="N186:P186"/>
    <mergeCell ref="N179:P179"/>
    <mergeCell ref="N180:P180"/>
    <mergeCell ref="M1:N2"/>
    <mergeCell ref="O1:X1"/>
    <mergeCell ref="O2:S2"/>
    <mergeCell ref="T2:X2"/>
    <mergeCell ref="N173:P173"/>
    <mergeCell ref="N174:P174"/>
    <mergeCell ref="N175:P175"/>
    <mergeCell ref="N176:P176"/>
    <mergeCell ref="N195:P195"/>
    <mergeCell ref="N196:P196"/>
    <mergeCell ref="N177:P177"/>
    <mergeCell ref="N178:P178"/>
    <mergeCell ref="N191:P191"/>
    <mergeCell ref="N192:P192"/>
    <mergeCell ref="N181:P181"/>
    <mergeCell ref="N182:P182"/>
    <mergeCell ref="N183:P183"/>
    <mergeCell ref="N184:P184"/>
    <mergeCell ref="N187:P187"/>
    <mergeCell ref="N188:P188"/>
    <mergeCell ref="N189:P189"/>
    <mergeCell ref="N190:P190"/>
    <mergeCell ref="N193:P193"/>
    <mergeCell ref="N194:P194"/>
    <mergeCell ref="N209:P209"/>
    <mergeCell ref="N210:P210"/>
    <mergeCell ref="N202:P202"/>
    <mergeCell ref="N203:P203"/>
    <mergeCell ref="N204:P204"/>
    <mergeCell ref="N205:P205"/>
    <mergeCell ref="N206:P206"/>
    <mergeCell ref="N207:P207"/>
    <mergeCell ref="N197:P197"/>
    <mergeCell ref="N198:P198"/>
    <mergeCell ref="N201:P201"/>
    <mergeCell ref="N208:P208"/>
    <mergeCell ref="N199:P199"/>
    <mergeCell ref="N200:P200"/>
  </mergeCells>
  <phoneticPr fontId="7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5">
    <pageSetUpPr fitToPage="1"/>
  </sheetPr>
  <dimension ref="A1:BR88"/>
  <sheetViews>
    <sheetView showGridLines="0" showRowColHeaders="0" tabSelected="1" zoomScaleNormal="100" workbookViewId="0">
      <selection activeCell="P48" sqref="P48"/>
    </sheetView>
  </sheetViews>
  <sheetFormatPr baseColWidth="10" defaultColWidth="11.42578125" defaultRowHeight="16.5" x14ac:dyDescent="0.3"/>
  <cols>
    <col min="1" max="1" width="4.7109375" style="206" customWidth="1"/>
    <col min="2" max="2" width="3" style="206" customWidth="1"/>
    <col min="3" max="3" width="6" style="206" customWidth="1"/>
    <col min="4" max="4" width="5" style="206" customWidth="1"/>
    <col min="5" max="5" width="8.28515625" style="206" customWidth="1"/>
    <col min="6" max="6" width="11.42578125" style="206"/>
    <col min="7" max="7" width="8.28515625" style="206" customWidth="1"/>
    <col min="8" max="8" width="10.28515625" style="206" customWidth="1"/>
    <col min="9" max="9" width="4.28515625" style="206" customWidth="1"/>
    <col min="10" max="10" width="3.7109375" style="206" customWidth="1"/>
    <col min="11" max="11" width="7" style="206" customWidth="1"/>
    <col min="12" max="12" width="4.28515625" style="206" customWidth="1"/>
    <col min="13" max="13" width="3.85546875" style="206" customWidth="1"/>
    <col min="14" max="14" width="4.28515625" style="206" customWidth="1"/>
    <col min="15" max="15" width="3.85546875" style="206" customWidth="1"/>
    <col min="16" max="16" width="7.85546875" style="206" customWidth="1"/>
    <col min="17" max="17" width="3.5703125" style="206" customWidth="1"/>
    <col min="18" max="18" width="5" style="206" customWidth="1"/>
    <col min="19" max="19" width="4.140625" style="206" customWidth="1"/>
    <col min="20" max="20" width="6.85546875" style="206" customWidth="1"/>
    <col min="21" max="21" width="8" style="206" customWidth="1"/>
    <col min="22" max="22" width="8.140625" style="206" customWidth="1"/>
    <col min="23" max="23" width="4" style="206" customWidth="1"/>
    <col min="24" max="24" width="8" style="206" customWidth="1"/>
    <col min="25" max="25" width="7.140625" style="206" customWidth="1"/>
    <col min="26" max="26" width="7.28515625" style="206" customWidth="1"/>
    <col min="27" max="27" width="5.42578125" style="206" customWidth="1"/>
    <col min="28" max="28" width="6.85546875" style="206" customWidth="1"/>
    <col min="29" max="29" width="5.42578125" style="206" customWidth="1"/>
    <col min="30" max="30" width="7" style="206" customWidth="1"/>
    <col min="31" max="31" width="8" style="206" hidden="1" customWidth="1"/>
    <col min="32" max="32" width="17.42578125" style="206" hidden="1" customWidth="1"/>
    <col min="33" max="33" width="8.85546875" style="206" hidden="1" customWidth="1"/>
    <col min="34" max="35" width="8.28515625" style="206" hidden="1" customWidth="1"/>
    <col min="36" max="36" width="6.140625" style="206" customWidth="1"/>
    <col min="37" max="47" width="11.42578125" style="206" customWidth="1"/>
    <col min="48" max="16384" width="11.42578125" style="206"/>
  </cols>
  <sheetData>
    <row r="1" spans="1:70" s="186" customFormat="1" ht="16.5" customHeight="1" x14ac:dyDescent="0.3">
      <c r="A1" s="561" t="s">
        <v>625</v>
      </c>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363"/>
      <c r="AF1" s="364" t="s">
        <v>661</v>
      </c>
      <c r="AG1" s="364" t="s">
        <v>388</v>
      </c>
      <c r="AH1" s="364"/>
      <c r="AI1" s="364"/>
      <c r="AJ1" s="364"/>
      <c r="AK1" s="364"/>
      <c r="AL1" s="364"/>
      <c r="AM1" s="364"/>
      <c r="AN1" s="364"/>
      <c r="AO1" s="364"/>
      <c r="AP1" s="364"/>
      <c r="AQ1" s="364"/>
      <c r="AR1" s="364"/>
      <c r="AS1" s="364"/>
      <c r="AT1" s="364"/>
      <c r="AU1" s="364"/>
      <c r="AV1" s="364"/>
      <c r="AW1" s="364"/>
      <c r="AX1" s="364"/>
      <c r="AY1" s="364"/>
      <c r="AZ1" s="364"/>
      <c r="BA1" s="364"/>
      <c r="BB1" s="364"/>
      <c r="BC1" s="364"/>
      <c r="BD1" s="364"/>
      <c r="BE1" s="364"/>
      <c r="BF1" s="364"/>
      <c r="BG1" s="364"/>
      <c r="BH1" s="364"/>
      <c r="BI1" s="364"/>
      <c r="BJ1" s="364"/>
      <c r="BK1" s="364"/>
      <c r="BL1" s="364"/>
      <c r="BM1" s="364"/>
      <c r="BN1" s="364"/>
      <c r="BO1" s="364"/>
      <c r="BP1" s="364"/>
      <c r="BQ1" s="364"/>
    </row>
    <row r="2" spans="1:70" s="186" customFormat="1" ht="31.5" customHeight="1" x14ac:dyDescent="0.3">
      <c r="A2" s="562"/>
      <c r="B2" s="562"/>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363"/>
      <c r="AF2" s="365" t="s">
        <v>528</v>
      </c>
      <c r="AG2" s="366" t="str">
        <f>G32</f>
        <v/>
      </c>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row>
    <row r="3" spans="1:70" x14ac:dyDescent="0.3">
      <c r="A3" s="363"/>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5" t="s">
        <v>529</v>
      </c>
      <c r="AG3" s="367">
        <f>G34</f>
        <v>0</v>
      </c>
      <c r="AH3" s="363"/>
      <c r="AI3" s="363" t="s">
        <v>446</v>
      </c>
      <c r="AJ3" s="368" t="str">
        <f>IF(ISTEXT(H6),H6,"")</f>
        <v/>
      </c>
      <c r="AK3" s="363"/>
      <c r="AL3" s="363"/>
      <c r="AM3" s="363"/>
      <c r="AN3" s="363"/>
      <c r="AO3" s="363"/>
      <c r="AP3" s="363"/>
      <c r="AQ3" s="363"/>
      <c r="AR3" s="363"/>
      <c r="AS3" s="363"/>
      <c r="AT3" s="363"/>
      <c r="AU3" s="363"/>
      <c r="AV3" s="363"/>
      <c r="AW3" s="363"/>
      <c r="AX3" s="363"/>
      <c r="AY3" s="363"/>
      <c r="AZ3" s="363"/>
      <c r="BA3" s="363"/>
      <c r="BB3" s="363"/>
      <c r="BC3" s="363"/>
      <c r="BD3" s="363"/>
      <c r="BE3" s="363"/>
      <c r="BF3" s="363"/>
      <c r="BG3" s="363"/>
      <c r="BH3" s="363"/>
      <c r="BI3" s="363"/>
      <c r="BJ3" s="363"/>
      <c r="BK3" s="363"/>
      <c r="BL3" s="363"/>
      <c r="BM3" s="363"/>
      <c r="BN3" s="363"/>
      <c r="BO3" s="363"/>
      <c r="BP3" s="363"/>
      <c r="BQ3" s="363"/>
    </row>
    <row r="4" spans="1:70" s="186" customFormat="1" ht="18" customHeight="1" x14ac:dyDescent="0.3">
      <c r="A4" s="364"/>
      <c r="B4" s="563" t="s">
        <v>305</v>
      </c>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3"/>
      <c r="AD4" s="363"/>
      <c r="AE4" s="363"/>
      <c r="AF4" s="365" t="s">
        <v>530</v>
      </c>
      <c r="AG4" s="366">
        <f>G36</f>
        <v>0</v>
      </c>
      <c r="AH4" s="364"/>
      <c r="AI4" s="364" t="s">
        <v>447</v>
      </c>
      <c r="AJ4" s="368" t="str">
        <f>IF(ISTEXT(F8),F8,"")</f>
        <v/>
      </c>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row>
    <row r="5" spans="1:70" x14ac:dyDescent="0.3">
      <c r="A5" s="363"/>
      <c r="B5" s="363"/>
      <c r="C5" s="363"/>
      <c r="D5" s="363"/>
      <c r="E5" s="363"/>
      <c r="F5" s="363"/>
      <c r="G5" s="363"/>
      <c r="H5" s="363"/>
      <c r="I5" s="363"/>
      <c r="J5" s="363"/>
      <c r="K5" s="363"/>
      <c r="L5" s="363"/>
      <c r="M5" s="363"/>
      <c r="N5" s="363"/>
      <c r="O5" s="363"/>
      <c r="P5" s="363"/>
      <c r="Q5" s="363"/>
      <c r="R5" s="363"/>
      <c r="S5" s="363"/>
      <c r="T5" s="363"/>
      <c r="U5" s="363"/>
      <c r="V5" s="369"/>
      <c r="W5" s="363"/>
      <c r="X5" s="363"/>
      <c r="Y5" s="363"/>
      <c r="Z5" s="363"/>
      <c r="AA5" s="363"/>
      <c r="AB5" s="363"/>
      <c r="AC5" s="363"/>
      <c r="AD5" s="363"/>
      <c r="AE5" s="363"/>
      <c r="AF5" s="365" t="s">
        <v>531</v>
      </c>
      <c r="AG5" s="367">
        <f>G38</f>
        <v>0</v>
      </c>
      <c r="AH5" s="363"/>
      <c r="AI5" s="363" t="s">
        <v>356</v>
      </c>
      <c r="AJ5" s="370" t="str">
        <f>IF(ISTEXT(AA6),AA6,"")</f>
        <v/>
      </c>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row>
    <row r="6" spans="1:70" ht="16.5" customHeight="1" x14ac:dyDescent="0.3">
      <c r="A6" s="363"/>
      <c r="B6" s="363"/>
      <c r="C6" s="556" t="s">
        <v>310</v>
      </c>
      <c r="D6" s="556"/>
      <c r="E6" s="556"/>
      <c r="F6" s="556"/>
      <c r="G6" s="392"/>
      <c r="H6" s="567"/>
      <c r="I6" s="567"/>
      <c r="J6" s="567"/>
      <c r="K6" s="567"/>
      <c r="L6" s="567"/>
      <c r="M6" s="567"/>
      <c r="N6" s="567"/>
      <c r="O6" s="567"/>
      <c r="P6" s="567"/>
      <c r="Q6" s="567"/>
      <c r="R6" s="567"/>
      <c r="S6" s="567"/>
      <c r="T6" s="567"/>
      <c r="U6" s="567"/>
      <c r="V6" s="567"/>
      <c r="W6" s="568"/>
      <c r="X6" s="363"/>
      <c r="Y6" s="564" t="s">
        <v>525</v>
      </c>
      <c r="Z6" s="565"/>
      <c r="AA6" s="569"/>
      <c r="AB6" s="570"/>
      <c r="AC6" s="571"/>
      <c r="AD6" s="363"/>
      <c r="AE6" s="363"/>
      <c r="AF6" s="365" t="s">
        <v>532</v>
      </c>
      <c r="AG6" s="367">
        <f>G40</f>
        <v>0</v>
      </c>
      <c r="AH6" s="363"/>
      <c r="AI6" s="369" t="s">
        <v>311</v>
      </c>
      <c r="AJ6" s="370" t="str">
        <f>IF(ISTEXT(E10),E10,"")</f>
        <v/>
      </c>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row>
    <row r="7" spans="1:70" ht="12.95" customHeight="1" x14ac:dyDescent="0.3">
      <c r="A7" s="363"/>
      <c r="B7" s="363"/>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5" t="s">
        <v>533</v>
      </c>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row>
    <row r="8" spans="1:70" ht="16.5" customHeight="1" x14ac:dyDescent="0.3">
      <c r="A8" s="363"/>
      <c r="B8" s="363"/>
      <c r="C8" s="557" t="s">
        <v>461</v>
      </c>
      <c r="D8" s="556"/>
      <c r="E8" s="572"/>
      <c r="F8" s="566"/>
      <c r="G8" s="567"/>
      <c r="H8" s="567"/>
      <c r="I8" s="567"/>
      <c r="J8" s="567"/>
      <c r="K8" s="567"/>
      <c r="L8" s="567"/>
      <c r="M8" s="567"/>
      <c r="N8" s="567"/>
      <c r="O8" s="567"/>
      <c r="P8" s="567"/>
      <c r="Q8" s="567"/>
      <c r="R8" s="567"/>
      <c r="S8" s="567"/>
      <c r="T8" s="567"/>
      <c r="U8" s="567"/>
      <c r="V8" s="567"/>
      <c r="W8" s="567"/>
      <c r="X8" s="567"/>
      <c r="Y8" s="567"/>
      <c r="Z8" s="567"/>
      <c r="AA8" s="567"/>
      <c r="AB8" s="567"/>
      <c r="AC8" s="568"/>
      <c r="AD8" s="363"/>
      <c r="AE8" s="363"/>
      <c r="AF8" s="365" t="s">
        <v>534</v>
      </c>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row>
    <row r="9" spans="1:70" ht="12.95" customHeight="1" x14ac:dyDescent="0.3">
      <c r="A9" s="363"/>
      <c r="B9" s="363"/>
      <c r="C9" s="363"/>
      <c r="D9" s="363"/>
      <c r="E9" s="363"/>
      <c r="F9" s="363"/>
      <c r="G9" s="363"/>
      <c r="H9" s="363"/>
      <c r="I9" s="363"/>
      <c r="J9" s="363"/>
      <c r="K9" s="363"/>
      <c r="L9" s="363"/>
      <c r="M9" s="363"/>
      <c r="N9" s="363"/>
      <c r="O9" s="363"/>
      <c r="P9" s="363"/>
      <c r="Q9" s="363"/>
      <c r="R9" s="363"/>
      <c r="S9" s="363"/>
      <c r="T9" s="363"/>
      <c r="U9" s="363"/>
      <c r="V9" s="363"/>
      <c r="W9" s="363"/>
      <c r="X9" s="363"/>
      <c r="Y9" s="363"/>
      <c r="Z9" s="363"/>
      <c r="AA9" s="363"/>
      <c r="AB9" s="363"/>
      <c r="AC9" s="363"/>
      <c r="AD9" s="363"/>
      <c r="AE9" s="363"/>
      <c r="AF9" s="365" t="s">
        <v>535</v>
      </c>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row>
    <row r="10" spans="1:70" ht="17.25" customHeight="1" x14ac:dyDescent="0.3">
      <c r="A10" s="363"/>
      <c r="B10" s="363"/>
      <c r="C10" s="554" t="s">
        <v>662</v>
      </c>
      <c r="D10" s="555"/>
      <c r="E10" s="577"/>
      <c r="F10" s="578"/>
      <c r="G10" s="372"/>
      <c r="H10" s="373"/>
      <c r="I10" s="579"/>
      <c r="J10" s="579"/>
      <c r="K10" s="579"/>
      <c r="L10" s="579"/>
      <c r="M10" s="579"/>
      <c r="N10" s="579"/>
      <c r="O10" s="579"/>
      <c r="P10" s="579"/>
      <c r="Q10" s="579"/>
      <c r="R10" s="579"/>
      <c r="S10" s="579"/>
      <c r="T10" s="579"/>
      <c r="U10" s="579"/>
      <c r="V10" s="363"/>
      <c r="W10" s="574" t="s">
        <v>626</v>
      </c>
      <c r="X10" s="575"/>
      <c r="Y10" s="575"/>
      <c r="Z10" s="575"/>
      <c r="AA10" s="576"/>
      <c r="AB10" s="315"/>
      <c r="AC10" s="384" t="s">
        <v>352</v>
      </c>
      <c r="AD10" s="363"/>
      <c r="AE10" s="363"/>
      <c r="AF10" s="365" t="s">
        <v>536</v>
      </c>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row>
    <row r="11" spans="1:70" ht="33.75" customHeight="1" thickBot="1" x14ac:dyDescent="0.35">
      <c r="A11" s="363"/>
      <c r="B11" s="363"/>
      <c r="C11" s="363"/>
      <c r="D11" s="371"/>
      <c r="E11" s="371"/>
      <c r="F11" s="374"/>
      <c r="G11" s="372"/>
      <c r="H11" s="372"/>
      <c r="I11" s="363"/>
      <c r="J11" s="363"/>
      <c r="K11" s="375"/>
      <c r="L11" s="376"/>
      <c r="M11" s="376"/>
      <c r="N11" s="376"/>
      <c r="O11" s="376"/>
      <c r="P11" s="376"/>
      <c r="Q11" s="376"/>
      <c r="R11" s="376"/>
      <c r="S11" s="376"/>
      <c r="T11" s="363"/>
      <c r="U11" s="376"/>
      <c r="V11" s="363"/>
      <c r="W11" s="573" t="str">
        <f>IF(AB10&gt;50,"Los cálculos se realizarán para un máximo de 50 años.","")</f>
        <v/>
      </c>
      <c r="X11" s="573"/>
      <c r="Y11" s="573"/>
      <c r="Z11" s="573"/>
      <c r="AA11" s="573"/>
      <c r="AB11" s="573"/>
      <c r="AC11" s="573"/>
      <c r="AD11" s="363"/>
      <c r="AE11" s="363"/>
      <c r="AF11" s="365" t="s">
        <v>537</v>
      </c>
      <c r="AG11" s="363"/>
      <c r="AH11" s="363"/>
      <c r="AI11" s="363"/>
      <c r="AJ11" s="363"/>
      <c r="AK11" s="363"/>
      <c r="AL11" s="363"/>
      <c r="AM11" s="363"/>
      <c r="AN11" s="363"/>
      <c r="AO11" s="363"/>
      <c r="AP11" s="363"/>
      <c r="AQ11" s="363"/>
      <c r="AR11" s="363"/>
      <c r="AS11" s="363"/>
      <c r="AT11" s="363"/>
      <c r="AU11" s="363"/>
      <c r="AV11" s="363"/>
      <c r="AW11" s="363"/>
      <c r="AX11" s="363"/>
      <c r="AY11" s="363"/>
      <c r="AZ11" s="363"/>
      <c r="BA11" s="363"/>
      <c r="BB11" s="363"/>
      <c r="BC11" s="363"/>
      <c r="BD11" s="363"/>
      <c r="BE11" s="363"/>
      <c r="BF11" s="363"/>
      <c r="BG11" s="363"/>
      <c r="BH11" s="363"/>
      <c r="BI11" s="363"/>
      <c r="BJ11" s="363"/>
      <c r="BK11" s="363"/>
      <c r="BL11" s="363"/>
      <c r="BM11" s="363"/>
      <c r="BN11" s="363"/>
      <c r="BO11" s="363"/>
      <c r="BP11" s="363"/>
      <c r="BQ11" s="363"/>
      <c r="BR11" s="363"/>
    </row>
    <row r="12" spans="1:70" ht="12" customHeight="1" x14ac:dyDescent="0.3">
      <c r="A12" s="363"/>
      <c r="B12" s="363"/>
      <c r="C12" s="363"/>
      <c r="D12" s="396"/>
      <c r="E12" s="397"/>
      <c r="F12" s="398"/>
      <c r="G12" s="398"/>
      <c r="H12" s="398"/>
      <c r="I12" s="399"/>
      <c r="J12" s="399"/>
      <c r="K12" s="400"/>
      <c r="L12" s="401"/>
      <c r="M12" s="401"/>
      <c r="N12" s="401"/>
      <c r="O12" s="401"/>
      <c r="P12" s="401"/>
      <c r="Q12" s="401"/>
      <c r="R12" s="401"/>
      <c r="S12" s="406"/>
      <c r="T12" s="363"/>
      <c r="U12" s="376"/>
      <c r="V12" s="363"/>
      <c r="W12" s="363"/>
      <c r="X12" s="363"/>
      <c r="Y12" s="363"/>
      <c r="Z12" s="363"/>
      <c r="AA12" s="363"/>
      <c r="AB12" s="363"/>
      <c r="AC12" s="363"/>
      <c r="AD12" s="363"/>
      <c r="AE12" s="363"/>
      <c r="AF12" s="365" t="s">
        <v>538</v>
      </c>
      <c r="AG12" s="363"/>
      <c r="AH12" s="363"/>
      <c r="AI12" s="363"/>
      <c r="AJ12" s="363"/>
      <c r="AK12" s="363"/>
      <c r="AL12" s="363"/>
      <c r="AM12" s="363"/>
      <c r="AN12" s="363"/>
      <c r="AO12" s="363"/>
      <c r="AP12" s="363"/>
      <c r="AQ12" s="363"/>
      <c r="AR12" s="363"/>
      <c r="AS12" s="363"/>
      <c r="AT12" s="363"/>
      <c r="AU12" s="363"/>
      <c r="AV12" s="363"/>
      <c r="AW12" s="363"/>
      <c r="AX12" s="363"/>
      <c r="AY12" s="363"/>
      <c r="AZ12" s="363"/>
      <c r="BA12" s="363"/>
      <c r="BB12" s="363"/>
      <c r="BC12" s="363"/>
      <c r="BD12" s="363"/>
      <c r="BE12" s="363"/>
      <c r="BF12" s="363"/>
      <c r="BG12" s="363"/>
      <c r="BH12" s="363"/>
      <c r="BI12" s="363"/>
      <c r="BJ12" s="363"/>
      <c r="BK12" s="363"/>
      <c r="BL12" s="363"/>
      <c r="BM12" s="363"/>
      <c r="BN12" s="363"/>
      <c r="BO12" s="363"/>
      <c r="BP12" s="363"/>
      <c r="BQ12" s="363"/>
      <c r="BR12" s="363"/>
    </row>
    <row r="13" spans="1:70" ht="16.5" customHeight="1" x14ac:dyDescent="0.3">
      <c r="A13" s="363"/>
      <c r="B13" s="363"/>
      <c r="C13" s="363"/>
      <c r="D13" s="402"/>
      <c r="E13" s="377"/>
      <c r="F13" s="557" t="s">
        <v>463</v>
      </c>
      <c r="G13" s="556"/>
      <c r="H13" s="556"/>
      <c r="I13" s="377"/>
      <c r="J13" s="556" t="s">
        <v>450</v>
      </c>
      <c r="K13" s="556"/>
      <c r="L13" s="556"/>
      <c r="M13" s="556"/>
      <c r="N13" s="377"/>
      <c r="O13" s="557" t="s">
        <v>471</v>
      </c>
      <c r="P13" s="556"/>
      <c r="Q13" s="556"/>
      <c r="R13" s="556"/>
      <c r="S13" s="408"/>
      <c r="T13" s="363"/>
      <c r="U13" s="589" t="s">
        <v>476</v>
      </c>
      <c r="V13" s="590"/>
      <c r="W13" s="590"/>
      <c r="X13" s="590"/>
      <c r="Y13" s="590"/>
      <c r="Z13" s="590"/>
      <c r="AA13" s="591"/>
      <c r="AB13" s="587"/>
      <c r="AC13" s="588"/>
      <c r="AD13" s="363"/>
      <c r="AE13" s="363"/>
      <c r="AF13" s="365" t="s">
        <v>539</v>
      </c>
      <c r="AG13" s="363"/>
      <c r="AH13" s="363"/>
      <c r="AI13" s="363"/>
      <c r="AJ13" s="363"/>
      <c r="AK13" s="363"/>
      <c r="AL13" s="363"/>
      <c r="AM13" s="363"/>
      <c r="AN13" s="363"/>
      <c r="AO13" s="363"/>
      <c r="AP13" s="363"/>
      <c r="AQ13" s="363"/>
      <c r="AR13" s="363"/>
      <c r="AS13" s="363"/>
      <c r="AT13" s="363"/>
      <c r="AU13" s="363"/>
      <c r="AV13" s="363"/>
      <c r="AW13" s="363"/>
      <c r="AX13" s="363"/>
      <c r="AY13" s="363"/>
      <c r="AZ13" s="363"/>
      <c r="BA13" s="363"/>
      <c r="BB13" s="363"/>
      <c r="BC13" s="363"/>
      <c r="BD13" s="363"/>
      <c r="BE13" s="363"/>
      <c r="BF13" s="363"/>
      <c r="BG13" s="363"/>
      <c r="BH13" s="363"/>
      <c r="BI13" s="363"/>
      <c r="BJ13" s="363"/>
      <c r="BK13" s="363"/>
      <c r="BL13" s="363"/>
      <c r="BM13" s="363"/>
      <c r="BN13" s="363"/>
      <c r="BO13" s="363"/>
      <c r="BP13" s="363"/>
      <c r="BQ13" s="363"/>
      <c r="BR13" s="363"/>
    </row>
    <row r="14" spans="1:70" ht="9.75" customHeight="1" thickBot="1" x14ac:dyDescent="0.35">
      <c r="A14" s="363"/>
      <c r="B14" s="363"/>
      <c r="C14" s="363"/>
      <c r="D14" s="402"/>
      <c r="E14" s="377"/>
      <c r="F14" s="377"/>
      <c r="G14" s="377"/>
      <c r="H14" s="377"/>
      <c r="I14" s="377"/>
      <c r="J14" s="377"/>
      <c r="K14" s="377"/>
      <c r="L14" s="377"/>
      <c r="M14" s="377"/>
      <c r="N14" s="377"/>
      <c r="O14" s="377"/>
      <c r="P14" s="377"/>
      <c r="Q14" s="377"/>
      <c r="R14" s="377"/>
      <c r="S14" s="408"/>
      <c r="T14" s="363"/>
      <c r="U14" s="363"/>
      <c r="V14" s="363"/>
      <c r="W14" s="363"/>
      <c r="X14" s="363"/>
      <c r="Y14" s="363"/>
      <c r="Z14" s="363"/>
      <c r="AA14" s="363"/>
      <c r="AB14" s="363"/>
      <c r="AC14" s="363"/>
      <c r="AD14" s="363"/>
      <c r="AE14" s="363"/>
      <c r="AF14" s="365" t="s">
        <v>540</v>
      </c>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c r="BG14" s="363"/>
      <c r="BH14" s="363"/>
      <c r="BI14" s="363"/>
      <c r="BJ14" s="363"/>
      <c r="BK14" s="363"/>
      <c r="BL14" s="363"/>
      <c r="BM14" s="363"/>
      <c r="BN14" s="363"/>
      <c r="BO14" s="363"/>
      <c r="BP14" s="363"/>
      <c r="BQ14" s="363"/>
      <c r="BR14" s="363"/>
    </row>
    <row r="15" spans="1:70" ht="15.95" customHeight="1" x14ac:dyDescent="0.3">
      <c r="A15" s="363"/>
      <c r="B15" s="363"/>
      <c r="C15" s="363"/>
      <c r="D15" s="402"/>
      <c r="E15" s="393" t="s">
        <v>361</v>
      </c>
      <c r="F15" s="592"/>
      <c r="G15" s="559"/>
      <c r="H15" s="560"/>
      <c r="I15" s="377"/>
      <c r="J15" s="349"/>
      <c r="K15" s="387"/>
      <c r="L15" s="384" t="s">
        <v>304</v>
      </c>
      <c r="M15" s="377"/>
      <c r="N15" s="377"/>
      <c r="O15" s="377"/>
      <c r="P15" s="388"/>
      <c r="Q15" s="504" t="s">
        <v>304</v>
      </c>
      <c r="R15" s="377"/>
      <c r="S15" s="408"/>
      <c r="T15" s="363"/>
      <c r="U15" s="593" t="s">
        <v>486</v>
      </c>
      <c r="V15" s="594"/>
      <c r="W15" s="594"/>
      <c r="X15" s="594"/>
      <c r="Y15" s="594"/>
      <c r="Z15" s="594"/>
      <c r="AA15" s="594"/>
      <c r="AB15" s="594"/>
      <c r="AC15" s="595"/>
      <c r="AD15" s="363"/>
      <c r="AE15" s="363"/>
      <c r="AF15" s="365" t="s">
        <v>541</v>
      </c>
      <c r="AG15" s="363"/>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row>
    <row r="16" spans="1:70" ht="4.5" customHeight="1" x14ac:dyDescent="0.3">
      <c r="A16" s="363"/>
      <c r="B16" s="363"/>
      <c r="C16" s="363"/>
      <c r="D16" s="402"/>
      <c r="E16" s="378"/>
      <c r="F16" s="377"/>
      <c r="G16" s="377"/>
      <c r="H16" s="377"/>
      <c r="I16" s="377"/>
      <c r="J16" s="377"/>
      <c r="K16" s="379"/>
      <c r="L16" s="377"/>
      <c r="M16" s="377"/>
      <c r="N16" s="377"/>
      <c r="O16" s="377"/>
      <c r="P16" s="380"/>
      <c r="Q16" s="377"/>
      <c r="R16" s="377"/>
      <c r="S16" s="408"/>
      <c r="T16" s="363"/>
      <c r="U16" s="596"/>
      <c r="V16" s="597"/>
      <c r="W16" s="597"/>
      <c r="X16" s="597"/>
      <c r="Y16" s="597"/>
      <c r="Z16" s="597"/>
      <c r="AA16" s="597"/>
      <c r="AB16" s="597"/>
      <c r="AC16" s="598"/>
      <c r="AD16" s="363"/>
      <c r="AE16" s="363"/>
      <c r="AF16" s="365" t="s">
        <v>542</v>
      </c>
      <c r="AG16" s="363"/>
      <c r="AH16" s="363"/>
      <c r="AI16" s="363"/>
      <c r="AJ16" s="363"/>
      <c r="AK16" s="363"/>
      <c r="AL16" s="363"/>
      <c r="AM16" s="363"/>
      <c r="AN16" s="363"/>
      <c r="AO16" s="363"/>
      <c r="AP16" s="363"/>
      <c r="AQ16" s="363"/>
      <c r="AR16" s="363"/>
      <c r="AS16" s="363"/>
      <c r="AT16" s="363"/>
      <c r="AU16" s="363"/>
      <c r="AV16" s="363"/>
      <c r="AW16" s="363"/>
      <c r="AX16" s="363"/>
      <c r="AY16" s="363"/>
      <c r="AZ16" s="363"/>
      <c r="BA16" s="363"/>
      <c r="BB16" s="363"/>
      <c r="BC16" s="363"/>
      <c r="BD16" s="363"/>
      <c r="BE16" s="363"/>
      <c r="BF16" s="363"/>
      <c r="BG16" s="363"/>
      <c r="BH16" s="363"/>
      <c r="BI16" s="363"/>
      <c r="BJ16" s="363"/>
      <c r="BK16" s="363"/>
      <c r="BL16" s="363"/>
      <c r="BM16" s="363"/>
      <c r="BN16" s="363"/>
      <c r="BO16" s="363"/>
      <c r="BP16" s="363"/>
      <c r="BQ16" s="363"/>
      <c r="BR16" s="363"/>
    </row>
    <row r="17" spans="1:70" ht="15.95" customHeight="1" x14ac:dyDescent="0.3">
      <c r="A17" s="363"/>
      <c r="B17" s="363"/>
      <c r="C17" s="363"/>
      <c r="D17" s="402"/>
      <c r="E17" s="393" t="s">
        <v>362</v>
      </c>
      <c r="F17" s="558"/>
      <c r="G17" s="559"/>
      <c r="H17" s="560"/>
      <c r="I17" s="377"/>
      <c r="J17" s="377"/>
      <c r="K17" s="387"/>
      <c r="L17" s="384" t="s">
        <v>304</v>
      </c>
      <c r="M17" s="377"/>
      <c r="N17" s="377"/>
      <c r="O17" s="377"/>
      <c r="P17" s="388"/>
      <c r="Q17" s="384" t="s">
        <v>304</v>
      </c>
      <c r="R17" s="377"/>
      <c r="S17" s="408"/>
      <c r="T17" s="363"/>
      <c r="U17" s="596"/>
      <c r="V17" s="597"/>
      <c r="W17" s="597"/>
      <c r="X17" s="597"/>
      <c r="Y17" s="597"/>
      <c r="Z17" s="597"/>
      <c r="AA17" s="597"/>
      <c r="AB17" s="597"/>
      <c r="AC17" s="598"/>
      <c r="AD17" s="363"/>
      <c r="AE17" s="363"/>
      <c r="AF17" s="365" t="s">
        <v>543</v>
      </c>
      <c r="AG17" s="363"/>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3"/>
      <c r="BE17" s="363"/>
      <c r="BF17" s="363"/>
      <c r="BG17" s="363"/>
      <c r="BH17" s="363"/>
      <c r="BI17" s="363"/>
      <c r="BJ17" s="363"/>
      <c r="BK17" s="363"/>
      <c r="BL17" s="363"/>
      <c r="BM17" s="363"/>
      <c r="BN17" s="363"/>
      <c r="BO17" s="363"/>
      <c r="BP17" s="363"/>
      <c r="BQ17" s="363"/>
      <c r="BR17" s="363"/>
    </row>
    <row r="18" spans="1:70" ht="4.5" customHeight="1" x14ac:dyDescent="0.3">
      <c r="A18" s="363"/>
      <c r="B18" s="363"/>
      <c r="C18" s="363"/>
      <c r="D18" s="402"/>
      <c r="E18" s="378"/>
      <c r="F18" s="377"/>
      <c r="G18" s="377"/>
      <c r="H18" s="377"/>
      <c r="I18" s="377"/>
      <c r="J18" s="377"/>
      <c r="K18" s="379"/>
      <c r="L18" s="377"/>
      <c r="M18" s="377"/>
      <c r="N18" s="377"/>
      <c r="O18" s="377"/>
      <c r="P18" s="380"/>
      <c r="Q18" s="377"/>
      <c r="R18" s="377"/>
      <c r="S18" s="408"/>
      <c r="T18" s="363"/>
      <c r="U18" s="596"/>
      <c r="V18" s="597"/>
      <c r="W18" s="597"/>
      <c r="X18" s="597"/>
      <c r="Y18" s="597"/>
      <c r="Z18" s="597"/>
      <c r="AA18" s="597"/>
      <c r="AB18" s="597"/>
      <c r="AC18" s="598"/>
      <c r="AD18" s="363"/>
      <c r="AE18" s="363"/>
      <c r="AF18" s="365" t="s">
        <v>544</v>
      </c>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363"/>
      <c r="BD18" s="363"/>
      <c r="BE18" s="363"/>
      <c r="BF18" s="363"/>
      <c r="BG18" s="363"/>
      <c r="BH18" s="363"/>
      <c r="BI18" s="363"/>
      <c r="BJ18" s="363"/>
      <c r="BK18" s="363"/>
      <c r="BL18" s="363"/>
      <c r="BM18" s="363"/>
      <c r="BN18" s="363"/>
      <c r="BO18" s="363"/>
      <c r="BP18" s="363"/>
      <c r="BQ18" s="363"/>
      <c r="BR18" s="363"/>
    </row>
    <row r="19" spans="1:70" ht="16.5" customHeight="1" x14ac:dyDescent="0.3">
      <c r="A19" s="363"/>
      <c r="B19" s="363"/>
      <c r="C19" s="363"/>
      <c r="D19" s="402"/>
      <c r="E19" s="393" t="s">
        <v>363</v>
      </c>
      <c r="F19" s="558"/>
      <c r="G19" s="559"/>
      <c r="H19" s="560"/>
      <c r="I19" s="377"/>
      <c r="J19" s="377"/>
      <c r="K19" s="387"/>
      <c r="L19" s="384" t="s">
        <v>304</v>
      </c>
      <c r="M19" s="377"/>
      <c r="N19" s="377"/>
      <c r="O19" s="377"/>
      <c r="P19" s="388"/>
      <c r="Q19" s="384" t="s">
        <v>304</v>
      </c>
      <c r="R19" s="377"/>
      <c r="S19" s="408"/>
      <c r="T19" s="363"/>
      <c r="U19" s="596"/>
      <c r="V19" s="597"/>
      <c r="W19" s="597"/>
      <c r="X19" s="597"/>
      <c r="Y19" s="597"/>
      <c r="Z19" s="597"/>
      <c r="AA19" s="597"/>
      <c r="AB19" s="597"/>
      <c r="AC19" s="598"/>
      <c r="AD19" s="363"/>
      <c r="AE19" s="367"/>
      <c r="AF19" s="365" t="s">
        <v>545</v>
      </c>
      <c r="AG19" s="363"/>
      <c r="AH19" s="363"/>
      <c r="AI19" s="363"/>
      <c r="AJ19" s="363"/>
      <c r="AK19" s="363"/>
      <c r="AL19" s="363"/>
      <c r="AM19" s="363"/>
      <c r="AN19" s="363"/>
      <c r="AO19" s="363"/>
      <c r="AP19" s="363"/>
      <c r="AQ19" s="363"/>
      <c r="AR19" s="363"/>
      <c r="AS19" s="363"/>
      <c r="AT19" s="363"/>
      <c r="AU19" s="363"/>
      <c r="AV19" s="363"/>
      <c r="AW19" s="363"/>
      <c r="AX19" s="363"/>
      <c r="AY19" s="363"/>
      <c r="AZ19" s="363"/>
      <c r="BA19" s="363"/>
      <c r="BB19" s="363"/>
      <c r="BC19" s="363"/>
      <c r="BD19" s="363"/>
      <c r="BE19" s="363"/>
      <c r="BF19" s="363"/>
      <c r="BG19" s="363"/>
      <c r="BH19" s="363"/>
      <c r="BI19" s="363"/>
      <c r="BJ19" s="363"/>
      <c r="BK19" s="363"/>
      <c r="BL19" s="363"/>
      <c r="BM19" s="363"/>
      <c r="BN19" s="363"/>
      <c r="BO19" s="363"/>
      <c r="BP19" s="363"/>
      <c r="BQ19" s="363"/>
      <c r="BR19" s="363"/>
    </row>
    <row r="20" spans="1:70" ht="4.5" customHeight="1" x14ac:dyDescent="0.3">
      <c r="A20" s="363"/>
      <c r="B20" s="363"/>
      <c r="C20" s="363"/>
      <c r="D20" s="402"/>
      <c r="E20" s="378"/>
      <c r="F20" s="377"/>
      <c r="G20" s="377"/>
      <c r="H20" s="377"/>
      <c r="I20" s="377"/>
      <c r="J20" s="377"/>
      <c r="K20" s="379"/>
      <c r="L20" s="377"/>
      <c r="M20" s="377"/>
      <c r="N20" s="377"/>
      <c r="O20" s="377"/>
      <c r="P20" s="380"/>
      <c r="Q20" s="377"/>
      <c r="R20" s="377"/>
      <c r="S20" s="408"/>
      <c r="T20" s="363"/>
      <c r="U20" s="596"/>
      <c r="V20" s="597"/>
      <c r="W20" s="597"/>
      <c r="X20" s="597"/>
      <c r="Y20" s="597"/>
      <c r="Z20" s="597"/>
      <c r="AA20" s="597"/>
      <c r="AB20" s="597"/>
      <c r="AC20" s="598"/>
      <c r="AD20" s="363"/>
      <c r="AE20" s="363"/>
      <c r="AF20" s="365" t="s">
        <v>546</v>
      </c>
      <c r="AG20" s="363"/>
      <c r="AH20" s="363"/>
      <c r="AI20" s="363"/>
      <c r="AJ20" s="363"/>
      <c r="AK20" s="363"/>
      <c r="AL20" s="363"/>
      <c r="AM20" s="363"/>
      <c r="AN20" s="363"/>
      <c r="AO20" s="363"/>
      <c r="AP20" s="363"/>
      <c r="AQ20" s="363"/>
      <c r="AR20" s="363"/>
      <c r="AS20" s="363"/>
      <c r="AT20" s="363"/>
      <c r="AU20" s="363"/>
      <c r="AV20" s="363"/>
      <c r="AW20" s="363"/>
      <c r="AX20" s="363"/>
      <c r="AY20" s="363"/>
      <c r="AZ20" s="363"/>
      <c r="BA20" s="363"/>
      <c r="BB20" s="363"/>
      <c r="BC20" s="363"/>
      <c r="BD20" s="363"/>
      <c r="BE20" s="363"/>
      <c r="BF20" s="363"/>
      <c r="BG20" s="363"/>
      <c r="BH20" s="363"/>
      <c r="BI20" s="363"/>
      <c r="BJ20" s="363"/>
      <c r="BK20" s="363"/>
      <c r="BL20" s="363"/>
      <c r="BM20" s="363"/>
      <c r="BN20" s="363"/>
      <c r="BO20" s="363"/>
      <c r="BP20" s="363"/>
      <c r="BQ20" s="363"/>
      <c r="BR20" s="363"/>
    </row>
    <row r="21" spans="1:70" ht="15.95" customHeight="1" x14ac:dyDescent="0.3">
      <c r="A21" s="363"/>
      <c r="B21" s="363"/>
      <c r="C21" s="363"/>
      <c r="D21" s="402"/>
      <c r="E21" s="393" t="s">
        <v>364</v>
      </c>
      <c r="F21" s="558"/>
      <c r="G21" s="559"/>
      <c r="H21" s="560"/>
      <c r="I21" s="377"/>
      <c r="J21" s="377"/>
      <c r="K21" s="387"/>
      <c r="L21" s="384" t="s">
        <v>304</v>
      </c>
      <c r="M21" s="377"/>
      <c r="N21" s="377"/>
      <c r="O21" s="377"/>
      <c r="P21" s="388"/>
      <c r="Q21" s="384" t="s">
        <v>304</v>
      </c>
      <c r="R21" s="377"/>
      <c r="S21" s="408"/>
      <c r="T21" s="363"/>
      <c r="U21" s="596"/>
      <c r="V21" s="597"/>
      <c r="W21" s="597"/>
      <c r="X21" s="597"/>
      <c r="Y21" s="597"/>
      <c r="Z21" s="597"/>
      <c r="AA21" s="597"/>
      <c r="AB21" s="597"/>
      <c r="AC21" s="598"/>
      <c r="AD21" s="363"/>
      <c r="AE21" s="363"/>
      <c r="AF21" s="365" t="s">
        <v>547</v>
      </c>
      <c r="AG21" s="363"/>
      <c r="AH21" s="363"/>
      <c r="AI21" s="363"/>
      <c r="AJ21" s="363"/>
      <c r="AK21" s="363"/>
      <c r="AL21" s="363"/>
      <c r="AM21" s="363"/>
      <c r="AN21" s="363"/>
      <c r="AO21" s="363"/>
      <c r="AP21" s="363"/>
      <c r="AQ21" s="363"/>
      <c r="AR21" s="363"/>
      <c r="AS21" s="363"/>
      <c r="AT21" s="363"/>
      <c r="AU21" s="363"/>
      <c r="AV21" s="363"/>
      <c r="AW21" s="363"/>
      <c r="AX21" s="363"/>
      <c r="AY21" s="363"/>
      <c r="AZ21" s="363"/>
      <c r="BA21" s="363"/>
      <c r="BB21" s="363"/>
      <c r="BC21" s="363"/>
      <c r="BD21" s="363"/>
      <c r="BE21" s="363"/>
      <c r="BF21" s="363"/>
      <c r="BG21" s="363"/>
      <c r="BH21" s="363"/>
      <c r="BI21" s="363"/>
      <c r="BJ21" s="363"/>
      <c r="BK21" s="363"/>
      <c r="BL21" s="363"/>
      <c r="BM21" s="363"/>
      <c r="BN21" s="363"/>
      <c r="BO21" s="363"/>
      <c r="BP21" s="363"/>
      <c r="BQ21" s="363"/>
      <c r="BR21" s="363"/>
    </row>
    <row r="22" spans="1:70" ht="4.5" customHeight="1" x14ac:dyDescent="0.3">
      <c r="A22" s="363"/>
      <c r="B22" s="363"/>
      <c r="C22" s="363"/>
      <c r="D22" s="402"/>
      <c r="E22" s="377"/>
      <c r="F22" s="377"/>
      <c r="G22" s="377"/>
      <c r="H22" s="377"/>
      <c r="I22" s="377"/>
      <c r="J22" s="377"/>
      <c r="K22" s="381"/>
      <c r="L22" s="377"/>
      <c r="M22" s="377"/>
      <c r="N22" s="377"/>
      <c r="O22" s="377"/>
      <c r="P22" s="380"/>
      <c r="Q22" s="377"/>
      <c r="R22" s="377"/>
      <c r="S22" s="408"/>
      <c r="T22" s="363"/>
      <c r="U22" s="596"/>
      <c r="V22" s="597"/>
      <c r="W22" s="597"/>
      <c r="X22" s="597"/>
      <c r="Y22" s="597"/>
      <c r="Z22" s="597"/>
      <c r="AA22" s="597"/>
      <c r="AB22" s="597"/>
      <c r="AC22" s="598"/>
      <c r="AD22" s="363"/>
      <c r="AE22" s="363"/>
      <c r="AF22" s="365" t="s">
        <v>548</v>
      </c>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c r="BE22" s="363"/>
      <c r="BF22" s="363"/>
      <c r="BG22" s="363"/>
      <c r="BH22" s="363"/>
      <c r="BI22" s="363"/>
      <c r="BJ22" s="363"/>
      <c r="BK22" s="363"/>
      <c r="BL22" s="363"/>
      <c r="BM22" s="363"/>
      <c r="BN22" s="363"/>
      <c r="BO22" s="363"/>
      <c r="BP22" s="363"/>
      <c r="BQ22" s="363"/>
      <c r="BR22" s="363"/>
    </row>
    <row r="23" spans="1:70" ht="23.25" customHeight="1" x14ac:dyDescent="0.3">
      <c r="A23" s="363"/>
      <c r="B23" s="363"/>
      <c r="C23" s="363"/>
      <c r="D23" s="402"/>
      <c r="E23" s="377"/>
      <c r="F23" s="377"/>
      <c r="G23" s="382"/>
      <c r="H23" s="394"/>
      <c r="I23" s="382"/>
      <c r="J23" s="382"/>
      <c r="K23" s="382"/>
      <c r="L23" s="382"/>
      <c r="M23" s="382"/>
      <c r="N23" s="382"/>
      <c r="O23" s="395" t="s">
        <v>366</v>
      </c>
      <c r="P23" s="389">
        <f>IF(ISNUMBER(SUM(P15+P17+P19+P21)),SUM(P15+P17+P19+P21),"")</f>
        <v>0</v>
      </c>
      <c r="Q23" s="503" t="s">
        <v>304</v>
      </c>
      <c r="R23" s="377"/>
      <c r="S23" s="408"/>
      <c r="T23" s="363"/>
      <c r="U23" s="596"/>
      <c r="V23" s="597"/>
      <c r="W23" s="597"/>
      <c r="X23" s="597"/>
      <c r="Y23" s="597"/>
      <c r="Z23" s="597"/>
      <c r="AA23" s="597"/>
      <c r="AB23" s="597"/>
      <c r="AC23" s="598"/>
      <c r="AD23" s="363"/>
      <c r="AE23" s="363"/>
      <c r="AF23" s="365" t="s">
        <v>549</v>
      </c>
      <c r="AG23" s="363"/>
      <c r="AH23" s="363"/>
      <c r="AI23" s="363"/>
      <c r="AJ23" s="363"/>
      <c r="AK23" s="363"/>
      <c r="AL23" s="363"/>
      <c r="AM23" s="363"/>
      <c r="AN23" s="363"/>
      <c r="AO23" s="363"/>
      <c r="AP23" s="363"/>
      <c r="AQ23" s="363"/>
      <c r="AR23" s="363"/>
      <c r="AS23" s="363"/>
      <c r="AT23" s="363"/>
      <c r="AU23" s="363"/>
      <c r="AV23" s="363"/>
      <c r="AW23" s="363"/>
      <c r="AX23" s="363"/>
      <c r="AY23" s="363"/>
      <c r="AZ23" s="363"/>
      <c r="BA23" s="363"/>
      <c r="BB23" s="363"/>
      <c r="BC23" s="363"/>
      <c r="BD23" s="363"/>
      <c r="BE23" s="363"/>
      <c r="BF23" s="363"/>
      <c r="BG23" s="363"/>
      <c r="BH23" s="363"/>
      <c r="BI23" s="363"/>
      <c r="BJ23" s="363"/>
      <c r="BK23" s="363"/>
      <c r="BL23" s="363"/>
      <c r="BM23" s="363"/>
      <c r="BN23" s="363"/>
      <c r="BO23" s="363"/>
      <c r="BP23" s="363"/>
      <c r="BQ23" s="363"/>
      <c r="BR23" s="363"/>
    </row>
    <row r="24" spans="1:70" ht="12" customHeight="1" thickBot="1" x14ac:dyDescent="0.35">
      <c r="A24" s="363"/>
      <c r="B24" s="363"/>
      <c r="C24" s="363"/>
      <c r="D24" s="403"/>
      <c r="E24" s="404"/>
      <c r="F24" s="404"/>
      <c r="G24" s="404"/>
      <c r="H24" s="404"/>
      <c r="I24" s="404"/>
      <c r="J24" s="404"/>
      <c r="K24" s="404"/>
      <c r="L24" s="404"/>
      <c r="M24" s="404"/>
      <c r="N24" s="404"/>
      <c r="O24" s="404"/>
      <c r="P24" s="404"/>
      <c r="Q24" s="404"/>
      <c r="R24" s="404"/>
      <c r="S24" s="407"/>
      <c r="T24" s="363"/>
      <c r="U24" s="599"/>
      <c r="V24" s="600"/>
      <c r="W24" s="600"/>
      <c r="X24" s="600"/>
      <c r="Y24" s="600"/>
      <c r="Z24" s="600"/>
      <c r="AA24" s="600"/>
      <c r="AB24" s="600"/>
      <c r="AC24" s="601"/>
      <c r="AD24" s="363"/>
      <c r="AE24" s="363"/>
      <c r="AF24" s="365" t="s">
        <v>550</v>
      </c>
      <c r="AG24" s="363"/>
      <c r="AH24" s="363"/>
      <c r="AI24" s="363"/>
      <c r="AJ24" s="363"/>
      <c r="AK24" s="363"/>
      <c r="AL24" s="363"/>
      <c r="AM24" s="363"/>
      <c r="AN24" s="363"/>
      <c r="AO24" s="363"/>
      <c r="AP24" s="363"/>
      <c r="AQ24" s="363"/>
      <c r="AR24" s="363"/>
      <c r="AS24" s="363"/>
      <c r="AT24" s="363"/>
      <c r="AU24" s="363"/>
      <c r="AV24" s="363"/>
      <c r="AW24" s="363"/>
      <c r="AX24" s="363"/>
      <c r="AY24" s="363"/>
      <c r="AZ24" s="363"/>
      <c r="BA24" s="363"/>
      <c r="BB24" s="363"/>
      <c r="BC24" s="363"/>
      <c r="BD24" s="363"/>
      <c r="BE24" s="363"/>
      <c r="BF24" s="363"/>
      <c r="BG24" s="363"/>
      <c r="BH24" s="363"/>
      <c r="BI24" s="363"/>
      <c r="BJ24" s="363"/>
      <c r="BK24" s="363"/>
      <c r="BL24" s="363"/>
      <c r="BM24" s="363"/>
      <c r="BN24" s="363"/>
      <c r="BO24" s="363"/>
      <c r="BP24" s="363"/>
      <c r="BQ24" s="363"/>
      <c r="BR24" s="363"/>
    </row>
    <row r="25" spans="1:70" ht="9" customHeight="1" x14ac:dyDescent="0.3">
      <c r="A25" s="383"/>
      <c r="B25" s="383"/>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65" t="s">
        <v>551</v>
      </c>
      <c r="AG25" s="363"/>
      <c r="AH25" s="363"/>
      <c r="AI25" s="363"/>
      <c r="AJ25" s="363"/>
      <c r="AK25" s="363"/>
      <c r="AL25" s="363"/>
      <c r="AM25" s="363"/>
      <c r="AN25" s="363"/>
      <c r="AO25" s="363"/>
      <c r="AP25" s="363"/>
      <c r="AQ25" s="363"/>
      <c r="AR25" s="363"/>
      <c r="AS25" s="363"/>
      <c r="AT25" s="363"/>
      <c r="AU25" s="363"/>
      <c r="AV25" s="363"/>
      <c r="AW25" s="363"/>
      <c r="AX25" s="363"/>
      <c r="AY25" s="363"/>
      <c r="AZ25" s="363"/>
      <c r="BA25" s="363"/>
      <c r="BB25" s="363"/>
      <c r="BC25" s="363"/>
      <c r="BD25" s="363"/>
      <c r="BE25" s="363"/>
      <c r="BF25" s="363"/>
      <c r="BG25" s="363"/>
      <c r="BH25" s="363"/>
      <c r="BI25" s="363"/>
      <c r="BJ25" s="363"/>
      <c r="BK25" s="363"/>
      <c r="BL25" s="363"/>
      <c r="BM25" s="363"/>
      <c r="BN25" s="363"/>
      <c r="BO25" s="363"/>
      <c r="BP25" s="363"/>
      <c r="BQ25" s="363"/>
      <c r="BR25" s="363"/>
    </row>
    <row r="26" spans="1:70" ht="16.5" customHeight="1" x14ac:dyDescent="0.3">
      <c r="A26" s="383"/>
      <c r="B26" s="383"/>
      <c r="C26" s="383"/>
      <c r="D26" s="580" t="s">
        <v>627</v>
      </c>
      <c r="E26" s="580"/>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383"/>
      <c r="AE26" s="383"/>
      <c r="AF26" s="365" t="s">
        <v>552</v>
      </c>
      <c r="AG26" s="363"/>
      <c r="AH26" s="363"/>
      <c r="AI26" s="363"/>
      <c r="AJ26" s="363"/>
      <c r="AK26" s="363"/>
      <c r="AL26" s="363"/>
      <c r="AM26" s="363"/>
      <c r="AN26" s="363"/>
      <c r="AO26" s="363"/>
      <c r="AP26" s="363"/>
      <c r="AQ26" s="363"/>
      <c r="AR26" s="363"/>
      <c r="AS26" s="363"/>
      <c r="AT26" s="363"/>
      <c r="AU26" s="363"/>
      <c r="AV26" s="363"/>
      <c r="AW26" s="363"/>
      <c r="AX26" s="363"/>
      <c r="AY26" s="363"/>
      <c r="AZ26" s="363"/>
      <c r="BA26" s="363"/>
      <c r="BB26" s="363"/>
      <c r="BC26" s="363"/>
      <c r="BD26" s="363"/>
      <c r="BE26" s="363"/>
      <c r="BF26" s="363"/>
      <c r="BG26" s="363"/>
      <c r="BH26" s="363"/>
      <c r="BI26" s="363"/>
      <c r="BJ26" s="363"/>
      <c r="BK26" s="363"/>
      <c r="BL26" s="363"/>
      <c r="BM26" s="363"/>
      <c r="BN26" s="363"/>
      <c r="BO26" s="363"/>
      <c r="BP26" s="363"/>
      <c r="BQ26" s="363"/>
      <c r="BR26" s="363"/>
    </row>
    <row r="27" spans="1:70" ht="33" customHeight="1" x14ac:dyDescent="0.3">
      <c r="A27" s="383"/>
      <c r="B27" s="383"/>
      <c r="C27" s="383"/>
      <c r="D27" s="580"/>
      <c r="E27" s="580"/>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383"/>
      <c r="AE27" s="383"/>
      <c r="AF27" s="365" t="s">
        <v>553</v>
      </c>
      <c r="AG27" s="363"/>
      <c r="AH27" s="363"/>
      <c r="AI27" s="363"/>
      <c r="AJ27" s="363"/>
      <c r="AK27" s="363"/>
      <c r="AL27" s="363"/>
      <c r="AM27" s="363"/>
      <c r="AN27" s="363"/>
      <c r="AO27" s="363"/>
      <c r="AP27" s="363"/>
      <c r="AQ27" s="363"/>
      <c r="AR27" s="363"/>
      <c r="AS27" s="363"/>
      <c r="AT27" s="363"/>
      <c r="AU27" s="363"/>
      <c r="AV27" s="363"/>
      <c r="AW27" s="363"/>
      <c r="AX27" s="363"/>
      <c r="AY27" s="363"/>
      <c r="AZ27" s="363"/>
      <c r="BA27" s="363"/>
      <c r="BB27" s="363"/>
      <c r="BC27" s="363"/>
      <c r="BD27" s="363"/>
      <c r="BE27" s="363"/>
      <c r="BF27" s="363"/>
      <c r="BG27" s="363"/>
      <c r="BH27" s="363"/>
      <c r="BI27" s="363"/>
      <c r="BJ27" s="363"/>
      <c r="BK27" s="363"/>
      <c r="BL27" s="363"/>
      <c r="BM27" s="363"/>
      <c r="BN27" s="363"/>
      <c r="BO27" s="363"/>
      <c r="BP27" s="363"/>
      <c r="BQ27" s="363"/>
      <c r="BR27" s="363"/>
    </row>
    <row r="28" spans="1:70" ht="6.75" customHeight="1" thickBot="1" x14ac:dyDescent="0.35">
      <c r="A28" s="383"/>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65" t="s">
        <v>554</v>
      </c>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363"/>
      <c r="BC28" s="363"/>
      <c r="BD28" s="363"/>
      <c r="BE28" s="363"/>
      <c r="BF28" s="363"/>
      <c r="BG28" s="363"/>
      <c r="BH28" s="363"/>
      <c r="BI28" s="363"/>
      <c r="BJ28" s="363"/>
      <c r="BK28" s="363"/>
      <c r="BL28" s="363"/>
      <c r="BM28" s="363"/>
      <c r="BN28" s="363"/>
      <c r="BO28" s="363"/>
      <c r="BP28" s="363"/>
      <c r="BQ28" s="363"/>
      <c r="BR28" s="363"/>
    </row>
    <row r="29" spans="1:70" ht="18" customHeight="1" x14ac:dyDescent="0.3">
      <c r="A29" s="383"/>
      <c r="B29" s="383"/>
      <c r="C29" s="383"/>
      <c r="D29" s="409"/>
      <c r="E29" s="399"/>
      <c r="F29" s="410"/>
      <c r="G29" s="399"/>
      <c r="H29" s="399"/>
      <c r="I29" s="411"/>
      <c r="J29" s="383"/>
      <c r="K29" s="604" t="s">
        <v>492</v>
      </c>
      <c r="L29" s="581" t="s">
        <v>483</v>
      </c>
      <c r="M29" s="581"/>
      <c r="N29" s="581"/>
      <c r="O29" s="581"/>
      <c r="P29" s="581"/>
      <c r="Q29" s="581"/>
      <c r="R29" s="581"/>
      <c r="S29" s="581"/>
      <c r="T29" s="581"/>
      <c r="U29" s="581"/>
      <c r="V29" s="581"/>
      <c r="W29" s="581"/>
      <c r="X29" s="581"/>
      <c r="Y29" s="581"/>
      <c r="Z29" s="581"/>
      <c r="AA29" s="581"/>
      <c r="AB29" s="581"/>
      <c r="AC29" s="582"/>
      <c r="AD29" s="383"/>
      <c r="AE29" s="383"/>
      <c r="AF29" s="365" t="s">
        <v>555</v>
      </c>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row>
    <row r="30" spans="1:70" x14ac:dyDescent="0.3">
      <c r="A30" s="383"/>
      <c r="B30" s="383"/>
      <c r="C30" s="383"/>
      <c r="D30" s="402"/>
      <c r="E30" s="557" t="s">
        <v>477</v>
      </c>
      <c r="F30" s="556"/>
      <c r="G30" s="556"/>
      <c r="H30" s="556"/>
      <c r="I30" s="412"/>
      <c r="J30" s="383"/>
      <c r="K30" s="605"/>
      <c r="L30" s="583"/>
      <c r="M30" s="583"/>
      <c r="N30" s="583"/>
      <c r="O30" s="583"/>
      <c r="P30" s="583"/>
      <c r="Q30" s="583"/>
      <c r="R30" s="583"/>
      <c r="S30" s="583"/>
      <c r="T30" s="583"/>
      <c r="U30" s="583"/>
      <c r="V30" s="583"/>
      <c r="W30" s="583"/>
      <c r="X30" s="583"/>
      <c r="Y30" s="583"/>
      <c r="Z30" s="583"/>
      <c r="AA30" s="583"/>
      <c r="AB30" s="583"/>
      <c r="AC30" s="584"/>
      <c r="AD30" s="383"/>
      <c r="AE30" s="383"/>
      <c r="AF30" s="365" t="s">
        <v>556</v>
      </c>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363"/>
      <c r="BD30" s="363"/>
      <c r="BE30" s="363"/>
      <c r="BF30" s="363"/>
      <c r="BG30" s="363"/>
      <c r="BH30" s="363"/>
      <c r="BI30" s="363"/>
      <c r="BJ30" s="363"/>
      <c r="BK30" s="363"/>
      <c r="BL30" s="363"/>
      <c r="BM30" s="363"/>
      <c r="BN30" s="363"/>
      <c r="BO30" s="363"/>
      <c r="BP30" s="363"/>
      <c r="BQ30" s="363"/>
      <c r="BR30" s="363"/>
    </row>
    <row r="31" spans="1:70" ht="4.5" customHeight="1" x14ac:dyDescent="0.3">
      <c r="A31" s="383"/>
      <c r="B31" s="383"/>
      <c r="C31" s="383"/>
      <c r="D31" s="402"/>
      <c r="E31" s="377"/>
      <c r="F31" s="377"/>
      <c r="G31" s="377"/>
      <c r="H31" s="377"/>
      <c r="I31" s="412"/>
      <c r="J31" s="383"/>
      <c r="K31" s="605"/>
      <c r="L31" s="583"/>
      <c r="M31" s="583"/>
      <c r="N31" s="583"/>
      <c r="O31" s="583"/>
      <c r="P31" s="583"/>
      <c r="Q31" s="583"/>
      <c r="R31" s="583"/>
      <c r="S31" s="583"/>
      <c r="T31" s="583"/>
      <c r="U31" s="583"/>
      <c r="V31" s="583"/>
      <c r="W31" s="583"/>
      <c r="X31" s="583"/>
      <c r="Y31" s="583"/>
      <c r="Z31" s="583"/>
      <c r="AA31" s="583"/>
      <c r="AB31" s="583"/>
      <c r="AC31" s="584"/>
      <c r="AD31" s="383"/>
      <c r="AE31" s="383"/>
      <c r="AF31" s="365" t="s">
        <v>557</v>
      </c>
      <c r="AG31" s="363"/>
      <c r="AH31" s="363"/>
      <c r="AI31" s="363"/>
      <c r="AJ31" s="363"/>
      <c r="AK31" s="363"/>
      <c r="AL31" s="363"/>
      <c r="AM31" s="363"/>
      <c r="AN31" s="363"/>
      <c r="AO31" s="363"/>
      <c r="AP31" s="363"/>
      <c r="AQ31" s="363"/>
      <c r="AR31" s="363"/>
      <c r="AS31" s="363"/>
      <c r="AT31" s="363"/>
      <c r="AU31" s="363"/>
      <c r="AV31" s="363"/>
      <c r="AW31" s="363"/>
      <c r="AX31" s="363"/>
      <c r="AY31" s="363"/>
      <c r="AZ31" s="363"/>
      <c r="BA31" s="363"/>
      <c r="BB31" s="363"/>
      <c r="BC31" s="363"/>
      <c r="BD31" s="363"/>
      <c r="BE31" s="363"/>
      <c r="BF31" s="363"/>
      <c r="BG31" s="363"/>
      <c r="BH31" s="363"/>
      <c r="BI31" s="363"/>
      <c r="BJ31" s="363"/>
      <c r="BK31" s="363"/>
      <c r="BL31" s="363"/>
      <c r="BM31" s="363"/>
      <c r="BN31" s="363"/>
      <c r="BO31" s="363"/>
      <c r="BP31" s="363"/>
      <c r="BQ31" s="363"/>
      <c r="BR31" s="363"/>
    </row>
    <row r="32" spans="1:70" x14ac:dyDescent="0.3">
      <c r="A32" s="383"/>
      <c r="B32" s="383"/>
      <c r="C32" s="383"/>
      <c r="D32" s="402"/>
      <c r="E32" s="585" t="s">
        <v>475</v>
      </c>
      <c r="F32" s="586"/>
      <c r="G32" s="385" t="str">
        <f>IF(ISNUMBER(AB13),AB13,"")</f>
        <v/>
      </c>
      <c r="H32" s="377"/>
      <c r="I32" s="412"/>
      <c r="J32" s="383"/>
      <c r="K32" s="605"/>
      <c r="L32" s="583"/>
      <c r="M32" s="583"/>
      <c r="N32" s="583"/>
      <c r="O32" s="583"/>
      <c r="P32" s="583"/>
      <c r="Q32" s="583"/>
      <c r="R32" s="583"/>
      <c r="S32" s="583"/>
      <c r="T32" s="583"/>
      <c r="U32" s="583"/>
      <c r="V32" s="583"/>
      <c r="W32" s="583"/>
      <c r="X32" s="583"/>
      <c r="Y32" s="583"/>
      <c r="Z32" s="583"/>
      <c r="AA32" s="583"/>
      <c r="AB32" s="583"/>
      <c r="AC32" s="584"/>
      <c r="AD32" s="383"/>
      <c r="AE32" s="383"/>
      <c r="AF32" s="365" t="s">
        <v>558</v>
      </c>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3"/>
      <c r="BK32" s="363"/>
      <c r="BL32" s="363"/>
      <c r="BM32" s="363"/>
      <c r="BN32" s="363"/>
      <c r="BO32" s="363"/>
      <c r="BP32" s="363"/>
      <c r="BQ32" s="363"/>
      <c r="BR32" s="363"/>
    </row>
    <row r="33" spans="1:70" ht="4.5" customHeight="1" x14ac:dyDescent="0.3">
      <c r="A33" s="383"/>
      <c r="B33" s="383"/>
      <c r="C33" s="383"/>
      <c r="D33" s="402"/>
      <c r="E33" s="377"/>
      <c r="F33" s="378"/>
      <c r="G33" s="377"/>
      <c r="H33" s="377"/>
      <c r="I33" s="412"/>
      <c r="J33" s="383"/>
      <c r="K33" s="415"/>
      <c r="L33" s="505"/>
      <c r="M33" s="505"/>
      <c r="N33" s="505"/>
      <c r="O33" s="505"/>
      <c r="P33" s="505"/>
      <c r="Q33" s="505"/>
      <c r="R33" s="505"/>
      <c r="S33" s="505"/>
      <c r="T33" s="505"/>
      <c r="U33" s="505"/>
      <c r="V33" s="505"/>
      <c r="W33" s="505"/>
      <c r="X33" s="505"/>
      <c r="Y33" s="505"/>
      <c r="Z33" s="505"/>
      <c r="AA33" s="505"/>
      <c r="AB33" s="505"/>
      <c r="AC33" s="506"/>
      <c r="AD33" s="383"/>
      <c r="AE33" s="383"/>
      <c r="AF33" s="365" t="s">
        <v>559</v>
      </c>
      <c r="AG33" s="363"/>
      <c r="AH33" s="363"/>
      <c r="AI33" s="363"/>
      <c r="AJ33" s="363"/>
      <c r="AK33" s="363"/>
      <c r="AL33" s="363"/>
      <c r="AM33" s="363"/>
      <c r="AN33" s="363"/>
      <c r="AO33" s="363"/>
      <c r="AP33" s="363"/>
      <c r="AQ33" s="363"/>
      <c r="AR33" s="363"/>
      <c r="AS33" s="363"/>
      <c r="AT33" s="363"/>
      <c r="AU33" s="363"/>
      <c r="AV33" s="363"/>
      <c r="AW33" s="363"/>
      <c r="AX33" s="363"/>
      <c r="AY33" s="363"/>
      <c r="AZ33" s="363"/>
      <c r="BA33" s="363"/>
      <c r="BB33" s="363"/>
      <c r="BC33" s="363"/>
      <c r="BD33" s="363"/>
      <c r="BE33" s="363"/>
      <c r="BF33" s="363"/>
      <c r="BG33" s="363"/>
      <c r="BH33" s="363"/>
      <c r="BI33" s="363"/>
      <c r="BJ33" s="363"/>
      <c r="BK33" s="363"/>
      <c r="BL33" s="363"/>
      <c r="BM33" s="363"/>
      <c r="BN33" s="363"/>
      <c r="BO33" s="363"/>
      <c r="BP33" s="363"/>
      <c r="BQ33" s="363"/>
      <c r="BR33" s="363"/>
    </row>
    <row r="34" spans="1:70" ht="16.5" customHeight="1" x14ac:dyDescent="0.3">
      <c r="A34" s="383"/>
      <c r="B34" s="383"/>
      <c r="C34" s="383"/>
      <c r="D34" s="402"/>
      <c r="E34" s="377"/>
      <c r="F34" s="413" t="s">
        <v>357</v>
      </c>
      <c r="G34" s="386"/>
      <c r="H34" s="377"/>
      <c r="I34" s="412"/>
      <c r="J34" s="383"/>
      <c r="K34" s="606">
        <v>2</v>
      </c>
      <c r="L34" s="583" t="s">
        <v>386</v>
      </c>
      <c r="M34" s="583"/>
      <c r="N34" s="583"/>
      <c r="O34" s="583"/>
      <c r="P34" s="583"/>
      <c r="Q34" s="583"/>
      <c r="R34" s="583"/>
      <c r="S34" s="583"/>
      <c r="T34" s="583"/>
      <c r="U34" s="583"/>
      <c r="V34" s="583"/>
      <c r="W34" s="583"/>
      <c r="X34" s="583"/>
      <c r="Y34" s="583"/>
      <c r="Z34" s="583"/>
      <c r="AA34" s="583"/>
      <c r="AB34" s="583"/>
      <c r="AC34" s="584"/>
      <c r="AD34" s="383"/>
      <c r="AE34" s="383"/>
      <c r="AF34" s="365" t="s">
        <v>560</v>
      </c>
      <c r="AG34" s="363"/>
      <c r="AH34" s="363"/>
      <c r="AI34" s="363"/>
      <c r="AJ34" s="363"/>
      <c r="AK34" s="363"/>
      <c r="AL34" s="363"/>
      <c r="AM34" s="363"/>
      <c r="AN34" s="363"/>
      <c r="AO34" s="363"/>
      <c r="AP34" s="363"/>
      <c r="AQ34" s="363"/>
      <c r="AR34" s="363"/>
      <c r="AS34" s="363"/>
      <c r="AT34" s="363"/>
      <c r="AU34" s="363"/>
      <c r="AV34" s="363"/>
      <c r="AW34" s="363"/>
      <c r="AX34" s="363"/>
      <c r="AY34" s="363"/>
      <c r="AZ34" s="363"/>
      <c r="BA34" s="363"/>
      <c r="BB34" s="363"/>
      <c r="BC34" s="363"/>
      <c r="BD34" s="363"/>
      <c r="BE34" s="363"/>
      <c r="BF34" s="363"/>
      <c r="BG34" s="363"/>
      <c r="BH34" s="363"/>
      <c r="BI34" s="363"/>
      <c r="BJ34" s="363"/>
      <c r="BK34" s="363"/>
      <c r="BL34" s="363"/>
      <c r="BM34" s="363"/>
      <c r="BN34" s="363"/>
      <c r="BO34" s="363"/>
      <c r="BP34" s="363"/>
      <c r="BQ34" s="363"/>
      <c r="BR34" s="363"/>
    </row>
    <row r="35" spans="1:70" ht="4.5" customHeight="1" x14ac:dyDescent="0.3">
      <c r="A35" s="383"/>
      <c r="B35" s="383"/>
      <c r="C35" s="383"/>
      <c r="D35" s="402"/>
      <c r="E35" s="377"/>
      <c r="F35" s="378"/>
      <c r="G35" s="377"/>
      <c r="H35" s="377"/>
      <c r="I35" s="412"/>
      <c r="J35" s="383"/>
      <c r="K35" s="606"/>
      <c r="L35" s="583"/>
      <c r="M35" s="583"/>
      <c r="N35" s="583"/>
      <c r="O35" s="583"/>
      <c r="P35" s="583"/>
      <c r="Q35" s="583"/>
      <c r="R35" s="583"/>
      <c r="S35" s="583"/>
      <c r="T35" s="583"/>
      <c r="U35" s="583"/>
      <c r="V35" s="583"/>
      <c r="W35" s="583"/>
      <c r="X35" s="583"/>
      <c r="Y35" s="583"/>
      <c r="Z35" s="583"/>
      <c r="AA35" s="583"/>
      <c r="AB35" s="583"/>
      <c r="AC35" s="584"/>
      <c r="AD35" s="383"/>
      <c r="AE35" s="383"/>
      <c r="AF35" s="365" t="s">
        <v>561</v>
      </c>
      <c r="AG35" s="363"/>
      <c r="AH35" s="363"/>
      <c r="AI35" s="363"/>
      <c r="AJ35" s="363"/>
      <c r="AK35" s="363"/>
      <c r="AL35" s="363"/>
      <c r="AM35" s="363"/>
      <c r="AN35" s="363"/>
      <c r="AO35" s="363"/>
      <c r="AP35" s="363"/>
      <c r="AQ35" s="363"/>
      <c r="AR35" s="363"/>
      <c r="AS35" s="363"/>
      <c r="AT35" s="363"/>
      <c r="AU35" s="363"/>
      <c r="AV35" s="363"/>
      <c r="AW35" s="363"/>
      <c r="AX35" s="363"/>
      <c r="AY35" s="363"/>
      <c r="AZ35" s="363"/>
      <c r="BA35" s="363"/>
      <c r="BB35" s="363"/>
      <c r="BC35" s="363"/>
      <c r="BD35" s="363"/>
      <c r="BE35" s="363"/>
      <c r="BF35" s="363"/>
      <c r="BG35" s="363"/>
      <c r="BH35" s="363"/>
      <c r="BI35" s="363"/>
      <c r="BJ35" s="363"/>
      <c r="BK35" s="363"/>
      <c r="BL35" s="363"/>
      <c r="BM35" s="363"/>
      <c r="BN35" s="363"/>
      <c r="BO35" s="363"/>
      <c r="BP35" s="363"/>
      <c r="BQ35" s="363"/>
      <c r="BR35" s="363"/>
    </row>
    <row r="36" spans="1:70" x14ac:dyDescent="0.3">
      <c r="A36" s="383"/>
      <c r="B36" s="383"/>
      <c r="C36" s="383"/>
      <c r="D36" s="402"/>
      <c r="E36" s="377"/>
      <c r="F36" s="413" t="s">
        <v>358</v>
      </c>
      <c r="G36" s="386"/>
      <c r="H36" s="377"/>
      <c r="I36" s="412"/>
      <c r="J36" s="383"/>
      <c r="K36" s="606"/>
      <c r="L36" s="583"/>
      <c r="M36" s="583"/>
      <c r="N36" s="583"/>
      <c r="O36" s="583"/>
      <c r="P36" s="583"/>
      <c r="Q36" s="583"/>
      <c r="R36" s="583"/>
      <c r="S36" s="583"/>
      <c r="T36" s="583"/>
      <c r="U36" s="583"/>
      <c r="V36" s="583"/>
      <c r="W36" s="583"/>
      <c r="X36" s="583"/>
      <c r="Y36" s="583"/>
      <c r="Z36" s="583"/>
      <c r="AA36" s="583"/>
      <c r="AB36" s="583"/>
      <c r="AC36" s="584"/>
      <c r="AD36" s="383"/>
      <c r="AE36" s="383"/>
      <c r="AF36" s="365" t="s">
        <v>562</v>
      </c>
      <c r="AG36" s="363"/>
      <c r="AH36" s="363"/>
      <c r="AI36" s="363"/>
      <c r="AJ36" s="363"/>
      <c r="AK36" s="363"/>
      <c r="AL36" s="363"/>
      <c r="AM36" s="363"/>
      <c r="AN36" s="363"/>
      <c r="AO36" s="363"/>
      <c r="AP36" s="363"/>
      <c r="AQ36" s="363"/>
      <c r="AR36" s="363"/>
      <c r="AS36" s="363"/>
      <c r="AT36" s="363"/>
      <c r="AU36" s="363"/>
      <c r="AV36" s="363"/>
      <c r="AW36" s="363"/>
      <c r="AX36" s="363"/>
      <c r="AY36" s="363"/>
      <c r="AZ36" s="363"/>
      <c r="BA36" s="363"/>
      <c r="BB36" s="363"/>
      <c r="BC36" s="363"/>
      <c r="BD36" s="363"/>
      <c r="BE36" s="363"/>
      <c r="BF36" s="363"/>
      <c r="BG36" s="363"/>
      <c r="BH36" s="363"/>
      <c r="BI36" s="363"/>
      <c r="BJ36" s="363"/>
      <c r="BK36" s="363"/>
      <c r="BL36" s="363"/>
      <c r="BM36" s="363"/>
      <c r="BN36" s="363"/>
      <c r="BO36" s="363"/>
      <c r="BP36" s="363"/>
      <c r="BQ36" s="363"/>
      <c r="BR36" s="363"/>
    </row>
    <row r="37" spans="1:70" ht="4.5" customHeight="1" x14ac:dyDescent="0.3">
      <c r="A37" s="383"/>
      <c r="B37" s="383"/>
      <c r="C37" s="383"/>
      <c r="D37" s="402"/>
      <c r="E37" s="377"/>
      <c r="F37" s="378"/>
      <c r="G37" s="377"/>
      <c r="H37" s="377"/>
      <c r="I37" s="412"/>
      <c r="J37" s="383"/>
      <c r="K37" s="606">
        <v>3</v>
      </c>
      <c r="L37" s="607" t="s">
        <v>460</v>
      </c>
      <c r="M37" s="607"/>
      <c r="N37" s="607"/>
      <c r="O37" s="607"/>
      <c r="P37" s="607"/>
      <c r="Q37" s="607"/>
      <c r="R37" s="607"/>
      <c r="S37" s="607"/>
      <c r="T37" s="607"/>
      <c r="U37" s="607"/>
      <c r="V37" s="607"/>
      <c r="W37" s="607"/>
      <c r="X37" s="607"/>
      <c r="Y37" s="607"/>
      <c r="Z37" s="607"/>
      <c r="AA37" s="607"/>
      <c r="AB37" s="607"/>
      <c r="AC37" s="608"/>
      <c r="AD37" s="383"/>
      <c r="AE37" s="383"/>
      <c r="AF37" s="365" t="s">
        <v>563</v>
      </c>
      <c r="AG37" s="363"/>
      <c r="AH37" s="363"/>
      <c r="AI37" s="363"/>
      <c r="AJ37" s="363"/>
      <c r="AK37" s="363"/>
      <c r="AL37" s="363"/>
      <c r="AM37" s="363"/>
      <c r="AN37" s="363"/>
      <c r="AO37" s="363"/>
      <c r="AP37" s="363"/>
      <c r="AQ37" s="363"/>
      <c r="AR37" s="363"/>
      <c r="AS37" s="363"/>
      <c r="AT37" s="363"/>
      <c r="AU37" s="363"/>
      <c r="AV37" s="363"/>
      <c r="AW37" s="363"/>
      <c r="AX37" s="363"/>
      <c r="AY37" s="363"/>
      <c r="AZ37" s="363"/>
      <c r="BA37" s="363"/>
      <c r="BB37" s="363"/>
      <c r="BC37" s="363"/>
      <c r="BD37" s="363"/>
      <c r="BE37" s="363"/>
      <c r="BF37" s="363"/>
      <c r="BG37" s="363"/>
      <c r="BH37" s="363"/>
      <c r="BI37" s="363"/>
      <c r="BJ37" s="363"/>
      <c r="BK37" s="363"/>
      <c r="BL37" s="363"/>
      <c r="BM37" s="363"/>
      <c r="BN37" s="363"/>
      <c r="BO37" s="363"/>
      <c r="BP37" s="363"/>
      <c r="BQ37" s="363"/>
      <c r="BR37" s="363"/>
    </row>
    <row r="38" spans="1:70" x14ac:dyDescent="0.3">
      <c r="A38" s="383"/>
      <c r="B38" s="383"/>
      <c r="C38" s="383"/>
      <c r="D38" s="402"/>
      <c r="E38" s="377"/>
      <c r="F38" s="413" t="s">
        <v>359</v>
      </c>
      <c r="G38" s="386"/>
      <c r="H38" s="377"/>
      <c r="I38" s="412"/>
      <c r="J38" s="383"/>
      <c r="K38" s="606"/>
      <c r="L38" s="607"/>
      <c r="M38" s="607"/>
      <c r="N38" s="607"/>
      <c r="O38" s="607"/>
      <c r="P38" s="607"/>
      <c r="Q38" s="607"/>
      <c r="R38" s="607"/>
      <c r="S38" s="607"/>
      <c r="T38" s="607"/>
      <c r="U38" s="607"/>
      <c r="V38" s="607"/>
      <c r="W38" s="607"/>
      <c r="X38" s="607"/>
      <c r="Y38" s="607"/>
      <c r="Z38" s="607"/>
      <c r="AA38" s="607"/>
      <c r="AB38" s="607"/>
      <c r="AC38" s="608"/>
      <c r="AD38" s="383"/>
      <c r="AE38" s="383"/>
      <c r="AF38" s="365" t="s">
        <v>564</v>
      </c>
      <c r="AG38" s="363"/>
      <c r="AH38" s="363"/>
      <c r="AI38" s="363"/>
      <c r="AJ38" s="363"/>
      <c r="AK38" s="363"/>
      <c r="AL38" s="363"/>
      <c r="AM38" s="363"/>
      <c r="AN38" s="363"/>
      <c r="AO38" s="363"/>
      <c r="AP38" s="363"/>
      <c r="AQ38" s="363"/>
      <c r="AR38" s="363"/>
      <c r="AS38" s="363"/>
      <c r="AT38" s="363"/>
      <c r="AU38" s="363"/>
      <c r="AV38" s="363"/>
      <c r="AW38" s="363"/>
      <c r="AX38" s="363"/>
      <c r="AY38" s="363"/>
      <c r="AZ38" s="363"/>
      <c r="BA38" s="363"/>
      <c r="BB38" s="363"/>
      <c r="BC38" s="363"/>
      <c r="BD38" s="363"/>
      <c r="BE38" s="363"/>
      <c r="BF38" s="363"/>
      <c r="BG38" s="363"/>
      <c r="BH38" s="363"/>
      <c r="BI38" s="363"/>
      <c r="BJ38" s="363"/>
      <c r="BK38" s="363"/>
      <c r="BL38" s="363"/>
      <c r="BM38" s="363"/>
      <c r="BN38" s="363"/>
      <c r="BO38" s="363"/>
      <c r="BP38" s="363"/>
      <c r="BQ38" s="363"/>
      <c r="BR38" s="363"/>
    </row>
    <row r="39" spans="1:70" ht="4.5" customHeight="1" x14ac:dyDescent="0.3">
      <c r="A39" s="383"/>
      <c r="B39" s="383"/>
      <c r="C39" s="383"/>
      <c r="D39" s="402"/>
      <c r="E39" s="377"/>
      <c r="F39" s="378"/>
      <c r="G39" s="377"/>
      <c r="H39" s="377"/>
      <c r="I39" s="412"/>
      <c r="J39" s="383"/>
      <c r="K39" s="606">
        <v>4</v>
      </c>
      <c r="L39" s="607" t="s">
        <v>451</v>
      </c>
      <c r="M39" s="607"/>
      <c r="N39" s="607"/>
      <c r="O39" s="607"/>
      <c r="P39" s="607"/>
      <c r="Q39" s="607"/>
      <c r="R39" s="607"/>
      <c r="S39" s="607"/>
      <c r="T39" s="607"/>
      <c r="U39" s="607"/>
      <c r="V39" s="607"/>
      <c r="W39" s="607"/>
      <c r="X39" s="607"/>
      <c r="Y39" s="607"/>
      <c r="Z39" s="607"/>
      <c r="AA39" s="607"/>
      <c r="AB39" s="607"/>
      <c r="AC39" s="608"/>
      <c r="AD39" s="383"/>
      <c r="AE39" s="383"/>
      <c r="AF39" s="365" t="s">
        <v>565</v>
      </c>
      <c r="AG39" s="363"/>
      <c r="AH39" s="363"/>
      <c r="AI39" s="363"/>
      <c r="AJ39" s="363"/>
      <c r="AK39" s="363"/>
      <c r="AL39" s="363"/>
      <c r="AM39" s="363"/>
      <c r="AN39" s="363"/>
      <c r="AO39" s="363"/>
      <c r="AP39" s="363"/>
      <c r="AQ39" s="363"/>
      <c r="AR39" s="363"/>
      <c r="AS39" s="363"/>
      <c r="AT39" s="363"/>
      <c r="AU39" s="363"/>
      <c r="AV39" s="363"/>
      <c r="AW39" s="363"/>
      <c r="AX39" s="363"/>
      <c r="AY39" s="363"/>
      <c r="AZ39" s="363"/>
      <c r="BA39" s="363"/>
      <c r="BB39" s="363"/>
      <c r="BC39" s="363"/>
      <c r="BD39" s="363"/>
      <c r="BE39" s="363"/>
      <c r="BF39" s="363"/>
      <c r="BG39" s="363"/>
      <c r="BH39" s="363"/>
      <c r="BI39" s="363"/>
      <c r="BJ39" s="363"/>
      <c r="BK39" s="363"/>
      <c r="BL39" s="363"/>
      <c r="BM39" s="363"/>
      <c r="BN39" s="363"/>
      <c r="BO39" s="363"/>
      <c r="BP39" s="363"/>
      <c r="BQ39" s="363"/>
      <c r="BR39" s="363"/>
    </row>
    <row r="40" spans="1:70" x14ac:dyDescent="0.3">
      <c r="A40" s="383"/>
      <c r="B40" s="383"/>
      <c r="C40" s="383"/>
      <c r="D40" s="402"/>
      <c r="E40" s="377"/>
      <c r="F40" s="413" t="s">
        <v>360</v>
      </c>
      <c r="G40" s="386"/>
      <c r="H40" s="377"/>
      <c r="I40" s="412"/>
      <c r="J40" s="383"/>
      <c r="K40" s="606"/>
      <c r="L40" s="607"/>
      <c r="M40" s="607"/>
      <c r="N40" s="607"/>
      <c r="O40" s="607"/>
      <c r="P40" s="607"/>
      <c r="Q40" s="607"/>
      <c r="R40" s="607"/>
      <c r="S40" s="607"/>
      <c r="T40" s="607"/>
      <c r="U40" s="607"/>
      <c r="V40" s="607"/>
      <c r="W40" s="607"/>
      <c r="X40" s="607"/>
      <c r="Y40" s="607"/>
      <c r="Z40" s="607"/>
      <c r="AA40" s="607"/>
      <c r="AB40" s="607"/>
      <c r="AC40" s="608"/>
      <c r="AD40" s="383"/>
      <c r="AE40" s="383"/>
      <c r="AF40" s="365" t="s">
        <v>566</v>
      </c>
      <c r="AG40" s="363"/>
      <c r="AH40" s="363"/>
      <c r="AI40" s="363"/>
      <c r="AJ40" s="363"/>
      <c r="AK40" s="363"/>
      <c r="AL40" s="363"/>
      <c r="AM40" s="363"/>
      <c r="AN40" s="363"/>
      <c r="AO40" s="363"/>
      <c r="AP40" s="363"/>
      <c r="AQ40" s="363"/>
      <c r="AR40" s="363"/>
      <c r="AS40" s="363"/>
      <c r="AT40" s="363"/>
      <c r="AU40" s="363"/>
      <c r="AV40" s="363"/>
      <c r="AW40" s="363"/>
      <c r="AX40" s="363"/>
      <c r="AY40" s="363"/>
      <c r="AZ40" s="363"/>
      <c r="BA40" s="363"/>
      <c r="BB40" s="363"/>
      <c r="BC40" s="363"/>
      <c r="BD40" s="363"/>
      <c r="BE40" s="363"/>
      <c r="BF40" s="363"/>
      <c r="BG40" s="363"/>
      <c r="BH40" s="363"/>
      <c r="BI40" s="363"/>
      <c r="BJ40" s="363"/>
      <c r="BK40" s="363"/>
      <c r="BL40" s="363"/>
      <c r="BM40" s="363"/>
      <c r="BN40" s="363"/>
      <c r="BO40" s="363"/>
      <c r="BP40" s="363"/>
      <c r="BQ40" s="363"/>
      <c r="BR40" s="363"/>
    </row>
    <row r="41" spans="1:70" ht="20.25" customHeight="1" thickBot="1" x14ac:dyDescent="0.35">
      <c r="A41" s="383"/>
      <c r="B41" s="383"/>
      <c r="C41" s="383"/>
      <c r="D41" s="403"/>
      <c r="E41" s="404"/>
      <c r="F41" s="404"/>
      <c r="G41" s="404"/>
      <c r="H41" s="404"/>
      <c r="I41" s="405"/>
      <c r="J41" s="383"/>
      <c r="K41" s="414">
        <v>5</v>
      </c>
      <c r="L41" s="602" t="s">
        <v>480</v>
      </c>
      <c r="M41" s="602"/>
      <c r="N41" s="602"/>
      <c r="O41" s="602"/>
      <c r="P41" s="602"/>
      <c r="Q41" s="602"/>
      <c r="R41" s="602"/>
      <c r="S41" s="602"/>
      <c r="T41" s="602"/>
      <c r="U41" s="602"/>
      <c r="V41" s="602"/>
      <c r="W41" s="602"/>
      <c r="X41" s="602"/>
      <c r="Y41" s="602"/>
      <c r="Z41" s="602"/>
      <c r="AA41" s="602"/>
      <c r="AB41" s="602"/>
      <c r="AC41" s="603"/>
      <c r="AD41" s="383"/>
      <c r="AE41" s="383"/>
      <c r="AF41" s="365" t="s">
        <v>567</v>
      </c>
      <c r="AG41" s="363"/>
      <c r="AH41" s="363"/>
      <c r="AI41" s="363"/>
      <c r="AJ41" s="363"/>
      <c r="AK41" s="363"/>
      <c r="AL41" s="363"/>
      <c r="AM41" s="363"/>
      <c r="AN41" s="363"/>
      <c r="AO41" s="363"/>
      <c r="AP41" s="363"/>
      <c r="AQ41" s="363"/>
      <c r="AR41" s="363"/>
      <c r="AS41" s="363"/>
      <c r="AT41" s="363"/>
      <c r="AU41" s="363"/>
      <c r="AV41" s="363"/>
      <c r="AW41" s="363"/>
      <c r="AX41" s="363"/>
      <c r="AY41" s="363"/>
      <c r="AZ41" s="363"/>
      <c r="BA41" s="363"/>
      <c r="BB41" s="363"/>
      <c r="BC41" s="363"/>
      <c r="BD41" s="363"/>
      <c r="BE41" s="363"/>
      <c r="BF41" s="363"/>
      <c r="BG41" s="363"/>
      <c r="BH41" s="363"/>
      <c r="BI41" s="363"/>
      <c r="BJ41" s="363"/>
      <c r="BK41" s="363"/>
      <c r="BL41" s="363"/>
      <c r="BM41" s="363"/>
      <c r="BN41" s="363"/>
      <c r="BO41" s="363"/>
      <c r="BP41" s="363"/>
      <c r="BQ41" s="363"/>
      <c r="BR41" s="363"/>
    </row>
    <row r="42" spans="1:70" x14ac:dyDescent="0.3">
      <c r="A42" s="383"/>
      <c r="B42" s="383"/>
      <c r="C42" s="383"/>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c r="AB42" s="383"/>
      <c r="AC42" s="383"/>
      <c r="AD42" s="383"/>
      <c r="AE42" s="383"/>
      <c r="AF42" s="365" t="s">
        <v>568</v>
      </c>
      <c r="AG42" s="363"/>
      <c r="AH42" s="363"/>
      <c r="AI42" s="363"/>
      <c r="AJ42" s="363"/>
      <c r="AK42" s="363"/>
      <c r="AL42" s="363"/>
      <c r="AM42" s="363"/>
      <c r="AN42" s="363"/>
      <c r="AO42" s="363"/>
      <c r="AP42" s="363"/>
      <c r="AQ42" s="363"/>
      <c r="AR42" s="363"/>
      <c r="AS42" s="363"/>
      <c r="AT42" s="363"/>
      <c r="AU42" s="363"/>
      <c r="AV42" s="363"/>
      <c r="AW42" s="363"/>
      <c r="AX42" s="363"/>
      <c r="AY42" s="363"/>
      <c r="AZ42" s="363"/>
      <c r="BA42" s="363"/>
      <c r="BB42" s="363"/>
      <c r="BC42" s="363"/>
      <c r="BD42" s="363"/>
      <c r="BE42" s="363"/>
      <c r="BF42" s="363"/>
      <c r="BG42" s="363"/>
      <c r="BH42" s="363"/>
      <c r="BI42" s="363"/>
      <c r="BJ42" s="363"/>
      <c r="BK42" s="363"/>
      <c r="BL42" s="363"/>
      <c r="BM42" s="363"/>
      <c r="BN42" s="363"/>
      <c r="BO42" s="363"/>
      <c r="BP42" s="363"/>
      <c r="BQ42" s="363"/>
      <c r="BR42" s="363"/>
    </row>
    <row r="43" spans="1:70" ht="18.75" customHeight="1" x14ac:dyDescent="0.3">
      <c r="A43" s="383"/>
      <c r="B43" s="383"/>
      <c r="C43" s="383"/>
      <c r="D43" s="383"/>
      <c r="E43" s="383"/>
      <c r="F43" s="383"/>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3"/>
      <c r="AE43" s="383"/>
      <c r="AF43" s="365" t="s">
        <v>569</v>
      </c>
      <c r="AG43" s="363"/>
      <c r="AH43" s="363"/>
      <c r="AI43" s="363"/>
      <c r="AJ43" s="363"/>
      <c r="AK43" s="363"/>
      <c r="AL43" s="363"/>
      <c r="AM43" s="363"/>
      <c r="AN43" s="363"/>
      <c r="AO43" s="363"/>
      <c r="AP43" s="363"/>
      <c r="AQ43" s="363"/>
      <c r="AR43" s="363"/>
      <c r="AS43" s="363"/>
      <c r="AT43" s="363"/>
      <c r="AU43" s="363"/>
      <c r="AV43" s="363"/>
      <c r="AW43" s="363"/>
      <c r="AX43" s="363"/>
      <c r="AY43" s="363"/>
      <c r="AZ43" s="363"/>
      <c r="BA43" s="363"/>
      <c r="BB43" s="363"/>
      <c r="BC43" s="363"/>
      <c r="BD43" s="363"/>
      <c r="BE43" s="363"/>
      <c r="BF43" s="363"/>
      <c r="BG43" s="363"/>
      <c r="BH43" s="363"/>
      <c r="BI43" s="363"/>
      <c r="BJ43" s="363"/>
      <c r="BK43" s="363"/>
      <c r="BL43" s="363"/>
      <c r="BM43" s="363"/>
      <c r="BN43" s="363"/>
      <c r="BO43" s="363"/>
      <c r="BP43" s="363"/>
      <c r="BQ43" s="363"/>
      <c r="BR43" s="363"/>
    </row>
    <row r="44" spans="1:70" ht="16.5" customHeight="1" x14ac:dyDescent="0.3">
      <c r="A44" s="383"/>
      <c r="B44" s="383"/>
      <c r="C44" s="383"/>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65" t="s">
        <v>570</v>
      </c>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363"/>
      <c r="BR44" s="363"/>
    </row>
    <row r="45" spans="1:70" x14ac:dyDescent="0.3">
      <c r="A45" s="383"/>
      <c r="B45" s="383"/>
      <c r="C45" s="383"/>
      <c r="D45" s="383"/>
      <c r="E45" s="383"/>
      <c r="F45" s="383"/>
      <c r="G45" s="383"/>
      <c r="H45" s="383"/>
      <c r="I45" s="383"/>
      <c r="J45" s="383"/>
      <c r="K45" s="383"/>
      <c r="L45" s="383"/>
      <c r="M45" s="383"/>
      <c r="N45" s="383"/>
      <c r="O45" s="383"/>
      <c r="P45" s="383"/>
      <c r="Q45" s="383"/>
      <c r="R45" s="383"/>
      <c r="S45" s="383"/>
      <c r="T45" s="383"/>
      <c r="U45" s="383"/>
      <c r="V45" s="383"/>
      <c r="W45" s="383"/>
      <c r="X45" s="383"/>
      <c r="Y45" s="383"/>
      <c r="Z45" s="383"/>
      <c r="AA45" s="383"/>
      <c r="AB45" s="383"/>
      <c r="AC45" s="383"/>
      <c r="AD45" s="383"/>
      <c r="AE45" s="383"/>
      <c r="AF45" s="365" t="s">
        <v>571</v>
      </c>
      <c r="AG45" s="363"/>
      <c r="AH45" s="363"/>
      <c r="AI45" s="363"/>
      <c r="AJ45" s="363"/>
      <c r="AK45" s="363"/>
      <c r="AL45" s="363"/>
      <c r="AM45" s="363"/>
      <c r="AN45" s="363"/>
      <c r="AO45" s="363"/>
      <c r="AP45" s="363"/>
      <c r="AQ45" s="363"/>
      <c r="AR45" s="363"/>
      <c r="AS45" s="363"/>
      <c r="AT45" s="363"/>
      <c r="AU45" s="363"/>
      <c r="AV45" s="363"/>
      <c r="AW45" s="363"/>
      <c r="AX45" s="363"/>
      <c r="AY45" s="363"/>
      <c r="AZ45" s="363"/>
      <c r="BA45" s="363"/>
      <c r="BB45" s="363"/>
      <c r="BC45" s="363"/>
      <c r="BD45" s="363"/>
      <c r="BE45" s="363"/>
      <c r="BF45" s="363"/>
      <c r="BG45" s="363"/>
      <c r="BH45" s="363"/>
      <c r="BI45" s="363"/>
      <c r="BJ45" s="363"/>
      <c r="BK45" s="363"/>
      <c r="BL45" s="363"/>
      <c r="BM45" s="363"/>
      <c r="BN45" s="363"/>
      <c r="BO45" s="363"/>
      <c r="BP45" s="363"/>
      <c r="BQ45" s="363"/>
      <c r="BR45" s="363"/>
    </row>
    <row r="46" spans="1:70" x14ac:dyDescent="0.3">
      <c r="A46" s="383"/>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65" t="s">
        <v>572</v>
      </c>
      <c r="AG46" s="363"/>
      <c r="AH46" s="363"/>
      <c r="AI46" s="363"/>
      <c r="AJ46" s="363"/>
      <c r="AK46" s="363"/>
      <c r="AL46" s="363"/>
      <c r="AM46" s="363"/>
      <c r="AN46" s="363"/>
      <c r="AO46" s="363"/>
      <c r="AP46" s="363"/>
      <c r="AQ46" s="363"/>
      <c r="AR46" s="363"/>
      <c r="AS46" s="363"/>
      <c r="AT46" s="363"/>
      <c r="AU46" s="363"/>
      <c r="AV46" s="363"/>
      <c r="AW46" s="363"/>
      <c r="AX46" s="363"/>
      <c r="AY46" s="363"/>
      <c r="AZ46" s="363"/>
      <c r="BA46" s="363"/>
      <c r="BB46" s="363"/>
      <c r="BC46" s="363"/>
      <c r="BD46" s="363"/>
      <c r="BE46" s="363"/>
      <c r="BF46" s="363"/>
      <c r="BG46" s="363"/>
      <c r="BH46" s="363"/>
      <c r="BI46" s="363"/>
      <c r="BJ46" s="363"/>
      <c r="BK46" s="363"/>
      <c r="BL46" s="363"/>
      <c r="BM46" s="363"/>
      <c r="BN46" s="363"/>
      <c r="BO46" s="363"/>
      <c r="BP46" s="363"/>
      <c r="BQ46" s="363"/>
      <c r="BR46" s="363"/>
    </row>
    <row r="47" spans="1:70" x14ac:dyDescent="0.3">
      <c r="A47" s="383"/>
      <c r="B47" s="383"/>
      <c r="C47" s="383"/>
      <c r="D47" s="383"/>
      <c r="E47" s="383"/>
      <c r="F47" s="383"/>
      <c r="G47" s="383"/>
      <c r="H47" s="383"/>
      <c r="I47" s="383"/>
      <c r="J47" s="383"/>
      <c r="K47" s="383"/>
      <c r="L47" s="383"/>
      <c r="M47" s="383"/>
      <c r="N47" s="383"/>
      <c r="O47" s="383"/>
      <c r="P47" s="383"/>
      <c r="Q47" s="383"/>
      <c r="R47" s="383"/>
      <c r="S47" s="383"/>
      <c r="T47" s="383"/>
      <c r="U47" s="383"/>
      <c r="V47" s="383"/>
      <c r="W47" s="383"/>
      <c r="X47" s="383"/>
      <c r="Y47" s="383"/>
      <c r="Z47" s="383"/>
      <c r="AA47" s="383"/>
      <c r="AB47" s="383"/>
      <c r="AC47" s="383"/>
      <c r="AD47" s="383"/>
      <c r="AE47" s="383"/>
      <c r="AF47" s="365" t="s">
        <v>573</v>
      </c>
      <c r="AG47" s="363"/>
      <c r="AH47" s="363"/>
      <c r="AI47" s="363"/>
      <c r="AJ47" s="363"/>
      <c r="AK47" s="363"/>
      <c r="AL47" s="363"/>
      <c r="AM47" s="363"/>
      <c r="AN47" s="363"/>
      <c r="AO47" s="363"/>
      <c r="AP47" s="363"/>
      <c r="AQ47" s="363"/>
      <c r="AR47" s="363"/>
      <c r="AS47" s="363"/>
      <c r="AT47" s="363"/>
      <c r="AU47" s="363"/>
      <c r="AV47" s="363"/>
      <c r="AW47" s="363"/>
      <c r="AX47" s="363"/>
      <c r="AY47" s="363"/>
      <c r="AZ47" s="363"/>
      <c r="BA47" s="363"/>
      <c r="BB47" s="363"/>
      <c r="BC47" s="363"/>
      <c r="BD47" s="363"/>
      <c r="BE47" s="363"/>
      <c r="BF47" s="363"/>
      <c r="BG47" s="363"/>
      <c r="BH47" s="363"/>
      <c r="BI47" s="363"/>
      <c r="BJ47" s="363"/>
      <c r="BK47" s="363"/>
      <c r="BL47" s="363"/>
      <c r="BM47" s="363"/>
      <c r="BN47" s="363"/>
      <c r="BO47" s="363"/>
      <c r="BP47" s="363"/>
      <c r="BQ47" s="363"/>
      <c r="BR47" s="363"/>
    </row>
    <row r="48" spans="1:70" x14ac:dyDescent="0.3">
      <c r="A48" s="383"/>
      <c r="B48" s="383"/>
      <c r="C48" s="383"/>
      <c r="D48" s="383"/>
      <c r="E48" s="383"/>
      <c r="F48" s="383"/>
      <c r="G48" s="383"/>
      <c r="H48" s="383"/>
      <c r="I48" s="383"/>
      <c r="J48" s="383"/>
      <c r="K48" s="383"/>
      <c r="L48" s="383"/>
      <c r="M48" s="383"/>
      <c r="N48" s="383"/>
      <c r="O48" s="383"/>
      <c r="P48" s="383"/>
      <c r="Q48" s="383"/>
      <c r="R48" s="383"/>
      <c r="S48" s="383"/>
      <c r="T48" s="383"/>
      <c r="U48" s="383"/>
      <c r="V48" s="383"/>
      <c r="W48" s="383"/>
      <c r="X48" s="383"/>
      <c r="Y48" s="383"/>
      <c r="Z48" s="383"/>
      <c r="AA48" s="383"/>
      <c r="AB48" s="383"/>
      <c r="AC48" s="383"/>
      <c r="AD48" s="383"/>
      <c r="AE48" s="383"/>
      <c r="AF48" s="365" t="s">
        <v>574</v>
      </c>
      <c r="AG48" s="363"/>
      <c r="AH48" s="363"/>
      <c r="AI48" s="363"/>
      <c r="AJ48" s="363"/>
      <c r="AK48" s="363"/>
      <c r="AL48" s="363"/>
      <c r="AM48" s="363"/>
      <c r="AN48" s="363"/>
      <c r="AO48" s="363"/>
      <c r="AP48" s="363"/>
      <c r="AQ48" s="363"/>
      <c r="AR48" s="363"/>
      <c r="AS48" s="363"/>
      <c r="AT48" s="363"/>
      <c r="AU48" s="363"/>
      <c r="AV48" s="363"/>
      <c r="AW48" s="363"/>
      <c r="AX48" s="363"/>
      <c r="AY48" s="363"/>
      <c r="AZ48" s="363"/>
      <c r="BA48" s="363"/>
      <c r="BB48" s="363"/>
      <c r="BC48" s="363"/>
      <c r="BD48" s="363"/>
      <c r="BE48" s="363"/>
      <c r="BF48" s="363"/>
      <c r="BG48" s="363"/>
      <c r="BH48" s="363"/>
      <c r="BI48" s="363"/>
      <c r="BJ48" s="363"/>
      <c r="BK48" s="363"/>
      <c r="BL48" s="363"/>
      <c r="BM48" s="363"/>
      <c r="BN48" s="363"/>
      <c r="BO48" s="363"/>
      <c r="BP48" s="363"/>
      <c r="BQ48" s="363"/>
      <c r="BR48" s="363"/>
    </row>
    <row r="49" spans="1:70" ht="18" customHeight="1" x14ac:dyDescent="0.3">
      <c r="A49" s="383"/>
      <c r="B49" s="383"/>
      <c r="C49" s="383"/>
      <c r="D49" s="383"/>
      <c r="E49" s="383"/>
      <c r="F49" s="383"/>
      <c r="G49" s="383"/>
      <c r="H49" s="383"/>
      <c r="I49" s="383"/>
      <c r="J49" s="383"/>
      <c r="K49" s="383"/>
      <c r="L49" s="383"/>
      <c r="M49" s="383"/>
      <c r="N49" s="383"/>
      <c r="O49" s="383"/>
      <c r="P49" s="383"/>
      <c r="Q49" s="383"/>
      <c r="R49" s="383"/>
      <c r="S49" s="383"/>
      <c r="T49" s="383"/>
      <c r="U49" s="383"/>
      <c r="V49" s="383"/>
      <c r="W49" s="383"/>
      <c r="X49" s="383"/>
      <c r="Y49" s="383"/>
      <c r="Z49" s="383"/>
      <c r="AA49" s="383"/>
      <c r="AB49" s="383"/>
      <c r="AC49" s="383"/>
      <c r="AD49" s="383"/>
      <c r="AE49" s="383"/>
      <c r="AF49" s="365" t="s">
        <v>575</v>
      </c>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363"/>
      <c r="BC49" s="363"/>
      <c r="BD49" s="363"/>
      <c r="BE49" s="363"/>
      <c r="BF49" s="363"/>
      <c r="BG49" s="363"/>
      <c r="BH49" s="363"/>
      <c r="BI49" s="363"/>
      <c r="BJ49" s="363"/>
      <c r="BK49" s="363"/>
      <c r="BL49" s="363"/>
      <c r="BM49" s="363"/>
      <c r="BN49" s="363"/>
      <c r="BO49" s="363"/>
      <c r="BP49" s="363"/>
      <c r="BQ49" s="363"/>
      <c r="BR49" s="363"/>
    </row>
    <row r="50" spans="1:70" x14ac:dyDescent="0.3">
      <c r="A50" s="383"/>
      <c r="B50" s="383"/>
      <c r="C50" s="383"/>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383"/>
      <c r="AC50" s="383"/>
      <c r="AD50" s="383"/>
      <c r="AE50" s="383"/>
      <c r="AF50" s="365" t="s">
        <v>576</v>
      </c>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c r="BL50" s="363"/>
      <c r="BM50" s="363"/>
      <c r="BN50" s="363"/>
      <c r="BO50" s="363"/>
      <c r="BP50" s="363"/>
      <c r="BQ50" s="363"/>
      <c r="BR50" s="363"/>
    </row>
    <row r="51" spans="1:70" ht="16.5" customHeight="1" x14ac:dyDescent="0.3">
      <c r="A51" s="383"/>
      <c r="B51" s="383"/>
      <c r="C51" s="383"/>
      <c r="D51" s="383"/>
      <c r="E51" s="383"/>
      <c r="F51" s="383"/>
      <c r="G51" s="383"/>
      <c r="H51" s="383"/>
      <c r="I51" s="383"/>
      <c r="J51" s="383"/>
      <c r="K51" s="383"/>
      <c r="L51" s="383"/>
      <c r="M51" s="383"/>
      <c r="N51" s="383"/>
      <c r="O51" s="383"/>
      <c r="P51" s="383"/>
      <c r="Q51" s="383"/>
      <c r="R51" s="383"/>
      <c r="S51" s="383"/>
      <c r="T51" s="383"/>
      <c r="U51" s="383"/>
      <c r="V51" s="383"/>
      <c r="W51" s="383"/>
      <c r="X51" s="383"/>
      <c r="Y51" s="383"/>
      <c r="Z51" s="383"/>
      <c r="AA51" s="383"/>
      <c r="AB51" s="383"/>
      <c r="AC51" s="383"/>
      <c r="AD51" s="383"/>
      <c r="AE51" s="383"/>
      <c r="AF51" s="365" t="s">
        <v>577</v>
      </c>
      <c r="AG51" s="363"/>
      <c r="AH51" s="363"/>
      <c r="AI51" s="363"/>
      <c r="AJ51" s="363"/>
      <c r="AK51" s="363"/>
      <c r="AL51" s="363"/>
      <c r="AM51" s="363"/>
      <c r="AN51" s="363"/>
      <c r="AO51" s="363"/>
      <c r="AP51" s="363"/>
      <c r="AQ51" s="363"/>
      <c r="AR51" s="363"/>
      <c r="AS51" s="363"/>
      <c r="AT51" s="363"/>
      <c r="AU51" s="363"/>
      <c r="AV51" s="363"/>
      <c r="AW51" s="363"/>
      <c r="AX51" s="363"/>
      <c r="AY51" s="363"/>
      <c r="AZ51" s="363"/>
      <c r="BA51" s="363"/>
      <c r="BB51" s="363"/>
      <c r="BC51" s="363"/>
      <c r="BD51" s="363"/>
      <c r="BE51" s="363"/>
      <c r="BF51" s="363"/>
      <c r="BG51" s="363"/>
      <c r="BH51" s="363"/>
      <c r="BI51" s="363"/>
      <c r="BJ51" s="363"/>
      <c r="BK51" s="363"/>
      <c r="BL51" s="363"/>
      <c r="BM51" s="363"/>
      <c r="BN51" s="363"/>
      <c r="BO51" s="363"/>
      <c r="BP51" s="363"/>
      <c r="BQ51" s="363"/>
      <c r="BR51" s="363"/>
    </row>
    <row r="52" spans="1:70" x14ac:dyDescent="0.3">
      <c r="A52" s="383"/>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65" t="s">
        <v>578</v>
      </c>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363"/>
      <c r="BD52" s="363"/>
      <c r="BE52" s="363"/>
      <c r="BF52" s="363"/>
      <c r="BG52" s="363"/>
      <c r="BH52" s="363"/>
      <c r="BI52" s="363"/>
      <c r="BJ52" s="363"/>
      <c r="BK52" s="363"/>
      <c r="BL52" s="363"/>
      <c r="BM52" s="363"/>
      <c r="BN52" s="363"/>
      <c r="BO52" s="363"/>
      <c r="BP52" s="363"/>
      <c r="BQ52" s="363"/>
      <c r="BR52" s="363"/>
    </row>
    <row r="53" spans="1:70" ht="21" customHeight="1" x14ac:dyDescent="0.3">
      <c r="A53" s="383"/>
      <c r="B53" s="383"/>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383"/>
      <c r="AF53" s="365" t="s">
        <v>579</v>
      </c>
      <c r="AG53" s="363"/>
      <c r="AH53" s="363"/>
      <c r="AI53" s="363"/>
      <c r="AJ53" s="363"/>
      <c r="AK53" s="363"/>
      <c r="AL53" s="363"/>
      <c r="AM53" s="363"/>
      <c r="AN53" s="363"/>
      <c r="AO53" s="363"/>
      <c r="AP53" s="363"/>
      <c r="AQ53" s="363"/>
      <c r="AR53" s="363"/>
      <c r="AS53" s="363"/>
      <c r="AT53" s="363"/>
      <c r="AU53" s="363"/>
      <c r="AV53" s="363"/>
      <c r="AW53" s="363"/>
      <c r="AX53" s="363"/>
      <c r="AY53" s="363"/>
      <c r="AZ53" s="363"/>
      <c r="BA53" s="363"/>
      <c r="BB53" s="363"/>
      <c r="BC53" s="363"/>
      <c r="BD53" s="363"/>
      <c r="BE53" s="363"/>
      <c r="BF53" s="363"/>
      <c r="BG53" s="363"/>
      <c r="BH53" s="363"/>
      <c r="BI53" s="363"/>
      <c r="BJ53" s="363"/>
      <c r="BK53" s="363"/>
      <c r="BL53" s="363"/>
      <c r="BM53" s="363"/>
      <c r="BN53" s="363"/>
      <c r="BO53" s="363"/>
      <c r="BP53" s="363"/>
      <c r="BQ53" s="363"/>
      <c r="BR53" s="363"/>
    </row>
    <row r="54" spans="1:70" x14ac:dyDescent="0.3">
      <c r="A54" s="383"/>
      <c r="B54" s="383"/>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416" t="s">
        <v>580</v>
      </c>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363"/>
      <c r="BC54" s="363"/>
      <c r="BD54" s="363"/>
      <c r="BE54" s="363"/>
      <c r="BF54" s="363"/>
      <c r="BG54" s="363"/>
      <c r="BH54" s="363"/>
      <c r="BI54" s="363"/>
      <c r="BJ54" s="363"/>
      <c r="BK54" s="363"/>
      <c r="BL54" s="363"/>
      <c r="BM54" s="363"/>
      <c r="BN54" s="363"/>
      <c r="BO54" s="363"/>
      <c r="BP54" s="363"/>
      <c r="BQ54" s="363"/>
      <c r="BR54" s="363"/>
    </row>
    <row r="55" spans="1:70" x14ac:dyDescent="0.3">
      <c r="A55" s="383"/>
      <c r="B55" s="383"/>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63" t="s">
        <v>581</v>
      </c>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363"/>
      <c r="BJ55" s="363"/>
      <c r="BK55" s="363"/>
      <c r="BL55" s="363"/>
      <c r="BM55" s="363"/>
      <c r="BN55" s="363"/>
      <c r="BO55" s="363"/>
      <c r="BP55" s="363"/>
      <c r="BQ55" s="363"/>
      <c r="BR55" s="363"/>
    </row>
    <row r="56" spans="1:70" x14ac:dyDescent="0.3">
      <c r="A56" s="383"/>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63" t="s">
        <v>582</v>
      </c>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3"/>
      <c r="BD56" s="363"/>
      <c r="BE56" s="363"/>
      <c r="BF56" s="363"/>
      <c r="BG56" s="363"/>
      <c r="BH56" s="363"/>
      <c r="BI56" s="363"/>
      <c r="BJ56" s="363"/>
      <c r="BK56" s="363"/>
      <c r="BL56" s="363"/>
      <c r="BM56" s="363"/>
      <c r="BN56" s="363"/>
      <c r="BO56" s="363"/>
      <c r="BP56" s="363"/>
      <c r="BQ56" s="363"/>
      <c r="BR56" s="363"/>
    </row>
    <row r="57" spans="1:70" x14ac:dyDescent="0.3">
      <c r="A57" s="383"/>
      <c r="B57" s="383"/>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83"/>
      <c r="AC57" s="383"/>
      <c r="AD57" s="383"/>
      <c r="AE57" s="383"/>
      <c r="AF57" s="363" t="s">
        <v>583</v>
      </c>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363"/>
      <c r="BC57" s="363"/>
      <c r="BD57" s="363"/>
      <c r="BE57" s="363"/>
      <c r="BF57" s="363"/>
      <c r="BG57" s="363"/>
      <c r="BH57" s="363"/>
      <c r="BI57" s="363"/>
      <c r="BJ57" s="363"/>
      <c r="BK57" s="363"/>
      <c r="BL57" s="363"/>
      <c r="BM57" s="363"/>
      <c r="BN57" s="363"/>
      <c r="BO57" s="363"/>
      <c r="BP57" s="363"/>
      <c r="BQ57" s="363"/>
      <c r="BR57" s="363"/>
    </row>
    <row r="58" spans="1:70" x14ac:dyDescent="0.3">
      <c r="A58" s="383"/>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63" t="s">
        <v>584</v>
      </c>
      <c r="AG58" s="363"/>
      <c r="AH58" s="363"/>
      <c r="AI58" s="363"/>
      <c r="AJ58" s="363"/>
      <c r="AK58" s="363"/>
      <c r="AL58" s="363"/>
      <c r="AM58" s="363"/>
      <c r="AN58" s="363"/>
      <c r="AO58" s="363"/>
      <c r="AP58" s="363"/>
      <c r="AQ58" s="363"/>
      <c r="AR58" s="363"/>
      <c r="AS58" s="363"/>
      <c r="AT58" s="363"/>
      <c r="AU58" s="363"/>
      <c r="AV58" s="363"/>
      <c r="AW58" s="363"/>
      <c r="AX58" s="363"/>
      <c r="AY58" s="363"/>
      <c r="AZ58" s="363"/>
      <c r="BA58" s="363"/>
      <c r="BB58" s="363"/>
      <c r="BC58" s="363"/>
      <c r="BD58" s="363"/>
      <c r="BE58" s="363"/>
      <c r="BF58" s="363"/>
      <c r="BG58" s="363"/>
      <c r="BH58" s="363"/>
      <c r="BI58" s="363"/>
      <c r="BJ58" s="363"/>
      <c r="BK58" s="363"/>
      <c r="BL58" s="363"/>
      <c r="BM58" s="363"/>
      <c r="BN58" s="363"/>
      <c r="BO58" s="363"/>
      <c r="BP58" s="363"/>
      <c r="BQ58" s="363"/>
      <c r="BR58" s="363"/>
    </row>
    <row r="59" spans="1:70" x14ac:dyDescent="0.3">
      <c r="A59" s="383"/>
      <c r="B59" s="383"/>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383"/>
      <c r="AC59" s="383"/>
      <c r="AD59" s="383"/>
      <c r="AE59" s="383"/>
      <c r="AF59" s="363" t="s">
        <v>585</v>
      </c>
      <c r="AG59" s="363"/>
      <c r="AH59" s="363"/>
      <c r="AI59" s="363"/>
      <c r="AJ59" s="363"/>
      <c r="AK59" s="363"/>
      <c r="AL59" s="363"/>
      <c r="AM59" s="363"/>
      <c r="AN59" s="363"/>
      <c r="AO59" s="363"/>
      <c r="AP59" s="363"/>
      <c r="AQ59" s="363"/>
      <c r="AR59" s="363"/>
      <c r="AS59" s="363"/>
      <c r="AT59" s="363"/>
      <c r="AU59" s="363"/>
      <c r="AV59" s="363"/>
      <c r="AW59" s="363"/>
      <c r="AX59" s="363"/>
      <c r="AY59" s="363"/>
      <c r="AZ59" s="363"/>
      <c r="BA59" s="363"/>
      <c r="BB59" s="363"/>
      <c r="BC59" s="363"/>
      <c r="BD59" s="363"/>
      <c r="BE59" s="363"/>
      <c r="BF59" s="363"/>
      <c r="BG59" s="363"/>
      <c r="BH59" s="363"/>
      <c r="BI59" s="363"/>
      <c r="BJ59" s="363"/>
      <c r="BK59" s="363"/>
      <c r="BL59" s="363"/>
      <c r="BM59" s="363"/>
      <c r="BN59" s="363"/>
      <c r="BO59" s="363"/>
      <c r="BP59" s="363"/>
      <c r="BQ59" s="363"/>
      <c r="BR59" s="363"/>
    </row>
    <row r="60" spans="1:70" ht="18" customHeight="1" x14ac:dyDescent="0.3">
      <c r="A60" s="383"/>
      <c r="B60" s="383"/>
      <c r="C60" s="383"/>
      <c r="D60" s="383"/>
      <c r="E60" s="383"/>
      <c r="F60" s="383"/>
      <c r="G60" s="383"/>
      <c r="H60" s="383"/>
      <c r="I60" s="383"/>
      <c r="J60" s="383"/>
      <c r="K60" s="383"/>
      <c r="L60" s="383"/>
      <c r="M60" s="383"/>
      <c r="N60" s="383"/>
      <c r="O60" s="383"/>
      <c r="P60" s="383"/>
      <c r="Q60" s="383"/>
      <c r="R60" s="383"/>
      <c r="S60" s="383"/>
      <c r="T60" s="383"/>
      <c r="U60" s="383"/>
      <c r="V60" s="383"/>
      <c r="W60" s="383"/>
      <c r="X60" s="383"/>
      <c r="Y60" s="383"/>
      <c r="Z60" s="383"/>
      <c r="AA60" s="383"/>
      <c r="AB60" s="383"/>
      <c r="AC60" s="383"/>
      <c r="AD60" s="383"/>
      <c r="AE60" s="383"/>
      <c r="AF60" s="363" t="s">
        <v>586</v>
      </c>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3"/>
      <c r="BD60" s="363"/>
      <c r="BE60" s="363"/>
      <c r="BF60" s="363"/>
      <c r="BG60" s="363"/>
      <c r="BH60" s="363"/>
      <c r="BI60" s="363"/>
      <c r="BJ60" s="363"/>
      <c r="BK60" s="363"/>
      <c r="BL60" s="363"/>
      <c r="BM60" s="363"/>
      <c r="BN60" s="363"/>
      <c r="BO60" s="363"/>
      <c r="BP60" s="363"/>
      <c r="BQ60" s="363"/>
      <c r="BR60" s="363"/>
    </row>
    <row r="61" spans="1:70" x14ac:dyDescent="0.3">
      <c r="A61" s="383"/>
      <c r="B61" s="383"/>
      <c r="C61" s="383"/>
      <c r="D61" s="383"/>
      <c r="E61" s="383"/>
      <c r="F61" s="383"/>
      <c r="G61" s="383"/>
      <c r="H61" s="383"/>
      <c r="I61" s="383"/>
      <c r="J61" s="383"/>
      <c r="K61" s="383"/>
      <c r="L61" s="383"/>
      <c r="M61" s="383"/>
      <c r="N61" s="383"/>
      <c r="O61" s="383"/>
      <c r="P61" s="383"/>
      <c r="Q61" s="383"/>
      <c r="R61" s="383"/>
      <c r="S61" s="383"/>
      <c r="T61" s="383"/>
      <c r="U61" s="383"/>
      <c r="V61" s="383"/>
      <c r="W61" s="383"/>
      <c r="X61" s="383"/>
      <c r="Y61" s="383"/>
      <c r="Z61" s="383"/>
      <c r="AA61" s="383"/>
      <c r="AB61" s="383"/>
      <c r="AC61" s="383"/>
      <c r="AD61" s="383"/>
      <c r="AE61" s="383"/>
      <c r="AF61" s="363" t="s">
        <v>587</v>
      </c>
      <c r="AG61" s="363"/>
      <c r="AH61" s="363"/>
      <c r="AI61" s="363"/>
      <c r="AJ61" s="363"/>
      <c r="AK61" s="363"/>
      <c r="AL61" s="363"/>
      <c r="AM61" s="363"/>
      <c r="AN61" s="363"/>
      <c r="AO61" s="363"/>
      <c r="AP61" s="363"/>
      <c r="AQ61" s="363"/>
      <c r="AR61" s="363"/>
      <c r="AS61" s="363"/>
      <c r="AT61" s="363"/>
      <c r="AU61" s="363"/>
      <c r="AV61" s="363"/>
      <c r="AW61" s="363"/>
      <c r="AX61" s="363"/>
      <c r="AY61" s="363"/>
      <c r="AZ61" s="363"/>
      <c r="BA61" s="363"/>
      <c r="BB61" s="363"/>
      <c r="BC61" s="363"/>
      <c r="BD61" s="363"/>
      <c r="BE61" s="363"/>
      <c r="BF61" s="363"/>
      <c r="BG61" s="363"/>
      <c r="BH61" s="363"/>
      <c r="BI61" s="363"/>
      <c r="BJ61" s="363"/>
      <c r="BK61" s="363"/>
      <c r="BL61" s="363"/>
      <c r="BM61" s="363"/>
      <c r="BN61" s="363"/>
      <c r="BO61" s="363"/>
      <c r="BP61" s="363"/>
      <c r="BQ61" s="363"/>
      <c r="BR61" s="363"/>
    </row>
    <row r="62" spans="1:70" x14ac:dyDescent="0.3">
      <c r="A62" s="363"/>
      <c r="B62" s="383"/>
      <c r="C62" s="383"/>
      <c r="D62" s="383"/>
      <c r="E62" s="383"/>
      <c r="F62" s="383"/>
      <c r="G62" s="383"/>
      <c r="H62" s="383"/>
      <c r="I62" s="383"/>
      <c r="J62" s="383"/>
      <c r="K62" s="383"/>
      <c r="L62" s="383"/>
      <c r="M62" s="383"/>
      <c r="N62" s="383"/>
      <c r="O62" s="383"/>
      <c r="P62" s="383"/>
      <c r="Q62" s="383"/>
      <c r="R62" s="383"/>
      <c r="S62" s="383"/>
      <c r="T62" s="383"/>
      <c r="U62" s="383"/>
      <c r="V62" s="383"/>
      <c r="W62" s="383"/>
      <c r="X62" s="383"/>
      <c r="Y62" s="383"/>
      <c r="Z62" s="383"/>
      <c r="AA62" s="383"/>
      <c r="AB62" s="383"/>
      <c r="AC62" s="383"/>
      <c r="AD62" s="363"/>
      <c r="AE62" s="363"/>
      <c r="AF62" s="363" t="s">
        <v>588</v>
      </c>
      <c r="AG62" s="363"/>
      <c r="AH62" s="363"/>
      <c r="AI62" s="363"/>
      <c r="AJ62" s="363"/>
      <c r="AK62" s="363"/>
      <c r="AL62" s="363"/>
      <c r="AM62" s="363"/>
      <c r="AN62" s="363"/>
      <c r="AO62" s="363"/>
      <c r="AP62" s="363"/>
      <c r="AQ62" s="363"/>
      <c r="AR62" s="363"/>
      <c r="AS62" s="363"/>
      <c r="AT62" s="363"/>
      <c r="AU62" s="363"/>
      <c r="AV62" s="363"/>
      <c r="AW62" s="363"/>
      <c r="AX62" s="363"/>
      <c r="AY62" s="363"/>
      <c r="AZ62" s="363"/>
      <c r="BA62" s="363"/>
      <c r="BB62" s="363"/>
      <c r="BC62" s="363"/>
      <c r="BD62" s="363"/>
      <c r="BE62" s="363"/>
      <c r="BF62" s="363"/>
      <c r="BG62" s="363"/>
      <c r="BH62" s="363"/>
      <c r="BI62" s="363"/>
      <c r="BJ62" s="363"/>
      <c r="BK62" s="363"/>
      <c r="BL62" s="363"/>
      <c r="BM62" s="363"/>
      <c r="BN62" s="363"/>
      <c r="BO62" s="363"/>
      <c r="BP62" s="363"/>
      <c r="BQ62" s="363"/>
      <c r="BR62" s="363"/>
    </row>
    <row r="63" spans="1:70" x14ac:dyDescent="0.3">
      <c r="A63" s="363"/>
      <c r="B63" s="383"/>
      <c r="C63" s="383"/>
      <c r="D63" s="383"/>
      <c r="E63" s="383"/>
      <c r="F63" s="383"/>
      <c r="G63" s="383"/>
      <c r="H63" s="383"/>
      <c r="I63" s="383"/>
      <c r="J63" s="383"/>
      <c r="K63" s="383"/>
      <c r="L63" s="383"/>
      <c r="M63" s="383"/>
      <c r="N63" s="383"/>
      <c r="O63" s="383"/>
      <c r="P63" s="383"/>
      <c r="Q63" s="383"/>
      <c r="R63" s="383"/>
      <c r="S63" s="383"/>
      <c r="T63" s="383"/>
      <c r="U63" s="383"/>
      <c r="V63" s="383"/>
      <c r="W63" s="383"/>
      <c r="X63" s="383"/>
      <c r="Y63" s="383"/>
      <c r="Z63" s="383"/>
      <c r="AA63" s="383"/>
      <c r="AB63" s="383"/>
      <c r="AC63" s="383"/>
      <c r="AD63" s="363"/>
      <c r="AE63" s="363"/>
      <c r="AF63" s="363" t="s">
        <v>589</v>
      </c>
      <c r="AG63" s="363"/>
      <c r="AH63" s="363"/>
      <c r="AI63" s="363"/>
      <c r="AJ63" s="363"/>
      <c r="AK63" s="363"/>
      <c r="AL63" s="363"/>
      <c r="AM63" s="363"/>
      <c r="AN63" s="363"/>
      <c r="AO63" s="363"/>
      <c r="AP63" s="363"/>
      <c r="AQ63" s="363"/>
      <c r="AR63" s="363"/>
      <c r="AS63" s="363"/>
      <c r="AT63" s="363"/>
      <c r="AU63" s="363"/>
      <c r="AV63" s="363"/>
      <c r="AW63" s="363"/>
      <c r="AX63" s="363"/>
      <c r="AY63" s="363"/>
      <c r="AZ63" s="363"/>
      <c r="BA63" s="363"/>
      <c r="BB63" s="363"/>
      <c r="BC63" s="363"/>
      <c r="BD63" s="363"/>
      <c r="BE63" s="363"/>
      <c r="BF63" s="363"/>
      <c r="BG63" s="363"/>
      <c r="BH63" s="363"/>
      <c r="BI63" s="363"/>
      <c r="BJ63" s="363"/>
      <c r="BK63" s="363"/>
      <c r="BL63" s="363"/>
      <c r="BM63" s="363"/>
      <c r="BN63" s="363"/>
      <c r="BO63" s="363"/>
      <c r="BP63" s="363"/>
      <c r="BQ63" s="363"/>
      <c r="BR63" s="363"/>
    </row>
    <row r="64" spans="1:70" x14ac:dyDescent="0.3">
      <c r="A64" s="363"/>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63"/>
      <c r="AE64" s="363"/>
      <c r="AF64" s="363" t="s">
        <v>590</v>
      </c>
      <c r="AG64" s="363"/>
      <c r="AH64" s="363"/>
      <c r="AI64" s="363"/>
      <c r="AJ64" s="363"/>
      <c r="AK64" s="363"/>
      <c r="AL64" s="363"/>
      <c r="AM64" s="363"/>
      <c r="AN64" s="363"/>
      <c r="AO64" s="363"/>
      <c r="AP64" s="363"/>
      <c r="AQ64" s="363"/>
      <c r="AR64" s="363"/>
      <c r="AS64" s="363"/>
      <c r="AT64" s="363"/>
      <c r="AU64" s="363"/>
      <c r="AV64" s="363"/>
      <c r="AW64" s="363"/>
      <c r="AX64" s="363"/>
      <c r="AY64" s="363"/>
      <c r="AZ64" s="363"/>
      <c r="BA64" s="363"/>
      <c r="BB64" s="363"/>
      <c r="BC64" s="363"/>
      <c r="BD64" s="363"/>
      <c r="BE64" s="363"/>
      <c r="BF64" s="363"/>
      <c r="BG64" s="363"/>
      <c r="BH64" s="363"/>
      <c r="BI64" s="363"/>
      <c r="BJ64" s="363"/>
      <c r="BK64" s="363"/>
      <c r="BL64" s="363"/>
      <c r="BM64" s="363"/>
      <c r="BN64" s="363"/>
      <c r="BO64" s="363"/>
      <c r="BP64" s="363"/>
      <c r="BQ64" s="363"/>
      <c r="BR64" s="363"/>
    </row>
    <row r="65" spans="1:70" x14ac:dyDescent="0.3">
      <c r="A65" s="363"/>
      <c r="B65" s="383"/>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63"/>
      <c r="AE65" s="363"/>
      <c r="AF65" s="363" t="s">
        <v>591</v>
      </c>
      <c r="AG65" s="363"/>
      <c r="AH65" s="363"/>
      <c r="AI65" s="363"/>
      <c r="AJ65" s="363"/>
      <c r="AK65" s="363"/>
      <c r="AL65" s="363"/>
      <c r="AM65" s="363"/>
      <c r="AN65" s="363"/>
      <c r="AO65" s="363"/>
      <c r="AP65" s="363"/>
      <c r="AQ65" s="363"/>
      <c r="AR65" s="363"/>
      <c r="AS65" s="363"/>
      <c r="AT65" s="363"/>
      <c r="AU65" s="363"/>
      <c r="AV65" s="363"/>
      <c r="AW65" s="363"/>
      <c r="AX65" s="363"/>
      <c r="AY65" s="363"/>
      <c r="AZ65" s="363"/>
      <c r="BA65" s="363"/>
      <c r="BB65" s="363"/>
      <c r="BC65" s="363"/>
      <c r="BD65" s="363"/>
      <c r="BE65" s="363"/>
      <c r="BF65" s="363"/>
      <c r="BG65" s="363"/>
      <c r="BH65" s="363"/>
      <c r="BI65" s="363"/>
      <c r="BJ65" s="363"/>
      <c r="BK65" s="363"/>
      <c r="BL65" s="363"/>
      <c r="BM65" s="363"/>
      <c r="BN65" s="363"/>
      <c r="BO65" s="363"/>
      <c r="BP65" s="363"/>
      <c r="BQ65" s="363"/>
      <c r="BR65" s="363"/>
    </row>
    <row r="66" spans="1:70" x14ac:dyDescent="0.3">
      <c r="A66" s="363"/>
      <c r="B66" s="383"/>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3"/>
      <c r="AA66" s="383"/>
      <c r="AB66" s="383"/>
      <c r="AC66" s="383"/>
      <c r="AD66" s="363"/>
      <c r="AE66" s="363"/>
      <c r="AF66" s="363" t="s">
        <v>592</v>
      </c>
      <c r="AG66" s="363"/>
      <c r="AH66" s="363"/>
      <c r="AI66" s="363"/>
      <c r="AJ66" s="363"/>
      <c r="AK66" s="363"/>
      <c r="AL66" s="363"/>
      <c r="AM66" s="363"/>
      <c r="AN66" s="363"/>
      <c r="AO66" s="363"/>
      <c r="AP66" s="363"/>
      <c r="AQ66" s="363"/>
      <c r="AR66" s="363"/>
      <c r="AS66" s="363"/>
      <c r="AT66" s="363"/>
      <c r="AU66" s="363"/>
      <c r="AV66" s="363"/>
      <c r="AW66" s="363"/>
      <c r="AX66" s="363"/>
      <c r="AY66" s="363"/>
      <c r="AZ66" s="363"/>
      <c r="BA66" s="363"/>
      <c r="BB66" s="363"/>
      <c r="BC66" s="363"/>
      <c r="BD66" s="363"/>
      <c r="BE66" s="363"/>
      <c r="BF66" s="363"/>
      <c r="BG66" s="363"/>
      <c r="BH66" s="363"/>
      <c r="BI66" s="363"/>
      <c r="BJ66" s="363"/>
      <c r="BK66" s="363"/>
      <c r="BL66" s="363"/>
      <c r="BM66" s="363"/>
      <c r="BN66" s="363"/>
      <c r="BO66" s="363"/>
      <c r="BP66" s="363"/>
      <c r="BQ66" s="363"/>
      <c r="BR66" s="363"/>
    </row>
    <row r="67" spans="1:70" x14ac:dyDescent="0.3">
      <c r="A67" s="363"/>
      <c r="B67" s="383"/>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63"/>
      <c r="AE67" s="363"/>
      <c r="AF67" s="363" t="s">
        <v>593</v>
      </c>
      <c r="AG67" s="363"/>
      <c r="AH67" s="363"/>
      <c r="AI67" s="363"/>
      <c r="AJ67" s="363"/>
      <c r="AK67" s="363"/>
      <c r="AL67" s="363"/>
      <c r="AM67" s="363"/>
      <c r="AN67" s="363"/>
      <c r="AO67" s="363"/>
      <c r="AP67" s="363"/>
      <c r="AQ67" s="363"/>
      <c r="AR67" s="363"/>
      <c r="AS67" s="363"/>
      <c r="AT67" s="363"/>
      <c r="AU67" s="363"/>
      <c r="AV67" s="363"/>
      <c r="AW67" s="363"/>
      <c r="AX67" s="363"/>
      <c r="AY67" s="363"/>
      <c r="AZ67" s="363"/>
      <c r="BA67" s="363"/>
      <c r="BB67" s="363"/>
      <c r="BC67" s="363"/>
      <c r="BD67" s="363"/>
      <c r="BE67" s="363"/>
      <c r="BF67" s="363"/>
      <c r="BG67" s="363"/>
      <c r="BH67" s="363"/>
      <c r="BI67" s="363"/>
      <c r="BJ67" s="363"/>
      <c r="BK67" s="363"/>
      <c r="BL67" s="363"/>
      <c r="BM67" s="363"/>
      <c r="BN67" s="363"/>
      <c r="BO67" s="363"/>
      <c r="BP67" s="363"/>
      <c r="BQ67" s="363"/>
      <c r="BR67" s="363"/>
    </row>
    <row r="68" spans="1:70" x14ac:dyDescent="0.3">
      <c r="A68" s="363"/>
      <c r="B68" s="383"/>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63"/>
      <c r="AE68" s="363"/>
      <c r="AF68" s="363" t="s">
        <v>594</v>
      </c>
      <c r="AG68" s="363"/>
      <c r="AH68" s="363"/>
      <c r="AI68" s="363"/>
      <c r="AJ68" s="363"/>
      <c r="AK68" s="363"/>
      <c r="AL68" s="363"/>
      <c r="AM68" s="363"/>
      <c r="AN68" s="363"/>
      <c r="AO68" s="363"/>
      <c r="AP68" s="363"/>
      <c r="AQ68" s="363"/>
      <c r="AR68" s="363"/>
      <c r="AS68" s="363"/>
      <c r="AT68" s="363"/>
      <c r="AU68" s="363"/>
      <c r="AV68" s="363"/>
      <c r="AW68" s="363"/>
      <c r="AX68" s="363"/>
      <c r="AY68" s="363"/>
      <c r="AZ68" s="363"/>
      <c r="BA68" s="363"/>
      <c r="BB68" s="363"/>
      <c r="BC68" s="363"/>
      <c r="BD68" s="363"/>
      <c r="BE68" s="363"/>
      <c r="BF68" s="363"/>
      <c r="BG68" s="363"/>
      <c r="BH68" s="363"/>
      <c r="BI68" s="363"/>
      <c r="BJ68" s="363"/>
      <c r="BK68" s="363"/>
      <c r="BL68" s="363"/>
      <c r="BM68" s="363"/>
      <c r="BN68" s="363"/>
      <c r="BO68" s="363"/>
      <c r="BP68" s="363"/>
      <c r="BQ68" s="363"/>
      <c r="BR68" s="363"/>
    </row>
    <row r="69" spans="1:70" x14ac:dyDescent="0.3">
      <c r="A69" s="363"/>
      <c r="B69" s="383"/>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63"/>
      <c r="AE69" s="363"/>
      <c r="AF69" s="363" t="s">
        <v>595</v>
      </c>
      <c r="AG69" s="363"/>
      <c r="AH69" s="363"/>
      <c r="AI69" s="363"/>
      <c r="AJ69" s="363"/>
      <c r="AK69" s="363"/>
      <c r="AL69" s="363"/>
      <c r="AM69" s="363"/>
      <c r="AN69" s="363"/>
      <c r="AO69" s="363"/>
      <c r="AP69" s="363"/>
      <c r="AQ69" s="363"/>
      <c r="AR69" s="363"/>
      <c r="AS69" s="363"/>
      <c r="AT69" s="363"/>
      <c r="AU69" s="363"/>
      <c r="AV69" s="363"/>
      <c r="AW69" s="363"/>
      <c r="AX69" s="363"/>
      <c r="AY69" s="363"/>
      <c r="AZ69" s="363"/>
      <c r="BA69" s="363"/>
      <c r="BB69" s="363"/>
      <c r="BC69" s="363"/>
      <c r="BD69" s="363"/>
      <c r="BE69" s="363"/>
      <c r="BF69" s="363"/>
      <c r="BG69" s="363"/>
      <c r="BH69" s="363"/>
      <c r="BI69" s="363"/>
      <c r="BJ69" s="363"/>
      <c r="BK69" s="363"/>
      <c r="BL69" s="363"/>
      <c r="BM69" s="363"/>
      <c r="BN69" s="363"/>
      <c r="BO69" s="363"/>
      <c r="BP69" s="363"/>
      <c r="BQ69" s="363"/>
      <c r="BR69" s="363"/>
    </row>
    <row r="70" spans="1:70" x14ac:dyDescent="0.3">
      <c r="A70" s="363"/>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63"/>
      <c r="AE70" s="363"/>
      <c r="AF70" s="363" t="s">
        <v>596</v>
      </c>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3"/>
      <c r="BI70" s="363"/>
      <c r="BJ70" s="363"/>
      <c r="BK70" s="363"/>
      <c r="BL70" s="363"/>
      <c r="BM70" s="363"/>
      <c r="BN70" s="363"/>
      <c r="BO70" s="363"/>
      <c r="BP70" s="363"/>
      <c r="BQ70" s="363"/>
      <c r="BR70" s="363"/>
    </row>
    <row r="71" spans="1:70" x14ac:dyDescent="0.3">
      <c r="A71" s="363"/>
      <c r="B71" s="383"/>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63"/>
      <c r="AE71" s="363"/>
      <c r="AF71" s="363" t="s">
        <v>597</v>
      </c>
      <c r="AG71" s="363"/>
      <c r="AH71" s="363"/>
      <c r="AI71" s="363"/>
      <c r="AJ71" s="363"/>
      <c r="AK71" s="363"/>
      <c r="AL71" s="363"/>
      <c r="AM71" s="363"/>
      <c r="AN71" s="363"/>
      <c r="AO71" s="363"/>
      <c r="AP71" s="363"/>
      <c r="AQ71" s="363"/>
      <c r="AR71" s="363"/>
      <c r="AS71" s="363"/>
      <c r="AT71" s="363"/>
      <c r="AU71" s="363"/>
      <c r="AV71" s="363"/>
      <c r="AW71" s="363"/>
      <c r="AX71" s="363"/>
      <c r="AY71" s="363"/>
      <c r="AZ71" s="363"/>
      <c r="BA71" s="363"/>
      <c r="BB71" s="363"/>
      <c r="BC71" s="363"/>
      <c r="BD71" s="363"/>
      <c r="BE71" s="363"/>
      <c r="BF71" s="363"/>
      <c r="BG71" s="363"/>
      <c r="BH71" s="363"/>
      <c r="BI71" s="363"/>
      <c r="BJ71" s="363"/>
      <c r="BK71" s="363"/>
      <c r="BL71" s="363"/>
      <c r="BM71" s="363"/>
      <c r="BN71" s="363"/>
      <c r="BO71" s="363"/>
      <c r="BP71" s="363"/>
      <c r="BQ71" s="363"/>
      <c r="BR71" s="363"/>
    </row>
    <row r="72" spans="1:70" x14ac:dyDescent="0.3">
      <c r="A72" s="363"/>
      <c r="B72" s="383"/>
      <c r="C72" s="383"/>
      <c r="D72" s="383"/>
      <c r="E72" s="383"/>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63"/>
      <c r="AE72" s="363"/>
      <c r="AF72" s="363" t="s">
        <v>598</v>
      </c>
      <c r="AG72" s="363"/>
      <c r="AH72" s="363"/>
      <c r="AI72" s="363"/>
      <c r="AJ72" s="363"/>
      <c r="AK72" s="363"/>
      <c r="AL72" s="363"/>
      <c r="AM72" s="363"/>
      <c r="AN72" s="363"/>
      <c r="AO72" s="363"/>
      <c r="AP72" s="363"/>
      <c r="AQ72" s="363"/>
      <c r="AR72" s="363"/>
      <c r="AS72" s="363"/>
      <c r="AT72" s="363"/>
      <c r="AU72" s="363"/>
      <c r="AV72" s="363"/>
      <c r="AW72" s="363"/>
      <c r="AX72" s="363"/>
      <c r="AY72" s="363"/>
      <c r="AZ72" s="363"/>
      <c r="BA72" s="363"/>
      <c r="BB72" s="363"/>
      <c r="BC72" s="363"/>
      <c r="BD72" s="363"/>
      <c r="BE72" s="363"/>
      <c r="BF72" s="363"/>
      <c r="BG72" s="363"/>
      <c r="BH72" s="363"/>
      <c r="BI72" s="363"/>
      <c r="BJ72" s="363"/>
      <c r="BK72" s="363"/>
      <c r="BL72" s="363"/>
      <c r="BM72" s="363"/>
      <c r="BN72" s="363"/>
      <c r="BO72" s="363"/>
      <c r="BP72" s="363"/>
      <c r="BQ72" s="363"/>
      <c r="BR72" s="363"/>
    </row>
    <row r="73" spans="1:70" ht="16.5" customHeight="1" x14ac:dyDescent="0.3">
      <c r="A73" s="363"/>
      <c r="B73" s="383"/>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63"/>
      <c r="AE73" s="363"/>
      <c r="AF73" s="363" t="s">
        <v>599</v>
      </c>
      <c r="AG73" s="363"/>
      <c r="AH73" s="363"/>
      <c r="AI73" s="363"/>
      <c r="AJ73" s="363"/>
      <c r="AK73" s="363"/>
      <c r="AL73" s="363"/>
      <c r="AM73" s="363"/>
      <c r="AN73" s="363"/>
      <c r="AO73" s="363"/>
      <c r="AP73" s="363"/>
      <c r="AQ73" s="363"/>
      <c r="AR73" s="363"/>
      <c r="AS73" s="363"/>
      <c r="AT73" s="363"/>
      <c r="AU73" s="363"/>
      <c r="AV73" s="363"/>
      <c r="AW73" s="363"/>
      <c r="AX73" s="363"/>
      <c r="AY73" s="363"/>
      <c r="AZ73" s="363"/>
      <c r="BA73" s="363"/>
      <c r="BB73" s="363"/>
      <c r="BC73" s="363"/>
      <c r="BD73" s="363"/>
      <c r="BE73" s="363"/>
      <c r="BF73" s="363"/>
      <c r="BG73" s="363"/>
      <c r="BH73" s="363"/>
      <c r="BI73" s="363"/>
      <c r="BJ73" s="363"/>
      <c r="BK73" s="363"/>
      <c r="BL73" s="363"/>
      <c r="BM73" s="363"/>
      <c r="BN73" s="363"/>
      <c r="BO73" s="363"/>
      <c r="BP73" s="363"/>
      <c r="BQ73" s="363"/>
      <c r="BR73" s="363"/>
    </row>
    <row r="74" spans="1:70" x14ac:dyDescent="0.3">
      <c r="A74" s="363"/>
      <c r="B74" s="383"/>
      <c r="C74" s="383"/>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63"/>
      <c r="AE74" s="363"/>
      <c r="AF74" s="363" t="s">
        <v>600</v>
      </c>
      <c r="AG74" s="363"/>
      <c r="AH74" s="363"/>
      <c r="AI74" s="363"/>
      <c r="AJ74" s="363"/>
      <c r="AK74" s="363"/>
      <c r="AL74" s="363"/>
      <c r="AM74" s="363"/>
      <c r="AN74" s="363"/>
      <c r="AO74" s="363"/>
      <c r="AP74" s="363"/>
      <c r="AQ74" s="363"/>
      <c r="AR74" s="363"/>
      <c r="AS74" s="363"/>
      <c r="AT74" s="363"/>
      <c r="AU74" s="363"/>
      <c r="AV74" s="363"/>
      <c r="AW74" s="363"/>
      <c r="AX74" s="363"/>
      <c r="AY74" s="363"/>
      <c r="AZ74" s="363"/>
      <c r="BA74" s="363"/>
      <c r="BB74" s="363"/>
      <c r="BC74" s="363"/>
      <c r="BD74" s="363"/>
      <c r="BE74" s="363"/>
      <c r="BF74" s="363"/>
      <c r="BG74" s="363"/>
      <c r="BH74" s="363"/>
      <c r="BI74" s="363"/>
      <c r="BJ74" s="363"/>
      <c r="BK74" s="363"/>
      <c r="BL74" s="363"/>
      <c r="BM74" s="363"/>
      <c r="BN74" s="363"/>
      <c r="BO74" s="363"/>
      <c r="BP74" s="363"/>
      <c r="BQ74" s="363"/>
      <c r="BR74" s="363"/>
    </row>
    <row r="75" spans="1:70" ht="16.5" customHeight="1" x14ac:dyDescent="0.3">
      <c r="A75" s="363"/>
      <c r="B75" s="383"/>
      <c r="C75" s="383"/>
      <c r="D75" s="383"/>
      <c r="E75" s="383"/>
      <c r="F75" s="383"/>
      <c r="G75" s="383"/>
      <c r="H75" s="383"/>
      <c r="I75" s="383"/>
      <c r="J75" s="383"/>
      <c r="K75" s="383"/>
      <c r="L75" s="383"/>
      <c r="M75" s="383"/>
      <c r="N75" s="383"/>
      <c r="O75" s="383"/>
      <c r="P75" s="383"/>
      <c r="Q75" s="383"/>
      <c r="R75" s="383"/>
      <c r="S75" s="383"/>
      <c r="T75" s="383"/>
      <c r="U75" s="383"/>
      <c r="V75" s="383"/>
      <c r="W75" s="383"/>
      <c r="X75" s="383"/>
      <c r="Y75" s="383"/>
      <c r="Z75" s="383"/>
      <c r="AA75" s="383"/>
      <c r="AB75" s="383"/>
      <c r="AC75" s="383"/>
      <c r="AD75" s="363"/>
      <c r="AE75" s="363"/>
      <c r="AF75" s="363" t="s">
        <v>561</v>
      </c>
      <c r="AG75" s="363"/>
      <c r="AH75" s="363"/>
      <c r="AI75" s="363"/>
      <c r="AJ75" s="363"/>
      <c r="AK75" s="363"/>
      <c r="AL75" s="363"/>
      <c r="AM75" s="363"/>
      <c r="AN75" s="363"/>
      <c r="AO75" s="363"/>
      <c r="AP75" s="363"/>
      <c r="AQ75" s="363"/>
      <c r="AR75" s="363"/>
      <c r="AS75" s="363"/>
      <c r="AT75" s="363"/>
      <c r="AU75" s="363"/>
      <c r="AV75" s="363"/>
      <c r="AW75" s="363"/>
      <c r="AX75" s="363"/>
      <c r="AY75" s="363"/>
      <c r="AZ75" s="363"/>
      <c r="BA75" s="363"/>
      <c r="BB75" s="363"/>
      <c r="BC75" s="363"/>
      <c r="BD75" s="363"/>
      <c r="BE75" s="363"/>
      <c r="BF75" s="363"/>
      <c r="BG75" s="363"/>
      <c r="BH75" s="363"/>
      <c r="BI75" s="363"/>
      <c r="BJ75" s="363"/>
      <c r="BK75" s="363"/>
      <c r="BL75" s="363"/>
      <c r="BM75" s="363"/>
      <c r="BN75" s="363"/>
      <c r="BO75" s="363"/>
      <c r="BP75" s="363"/>
      <c r="BQ75" s="363"/>
      <c r="BR75" s="363"/>
    </row>
    <row r="76" spans="1:70" x14ac:dyDescent="0.3">
      <c r="A76" s="363"/>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63"/>
      <c r="AE76" s="363"/>
      <c r="AF76" s="363" t="s">
        <v>601</v>
      </c>
      <c r="AG76" s="363"/>
      <c r="AH76" s="363"/>
      <c r="AI76" s="363"/>
      <c r="AJ76" s="363"/>
      <c r="AK76" s="363"/>
      <c r="AL76" s="363"/>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3"/>
      <c r="BK76" s="363"/>
      <c r="BL76" s="363"/>
      <c r="BM76" s="363"/>
      <c r="BN76" s="363"/>
      <c r="BO76" s="363"/>
      <c r="BP76" s="363"/>
      <c r="BQ76" s="363"/>
      <c r="BR76" s="363"/>
    </row>
    <row r="77" spans="1:70" x14ac:dyDescent="0.3">
      <c r="A77" s="363"/>
      <c r="B77" s="383"/>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63"/>
      <c r="AE77" s="363"/>
      <c r="AF77" s="363" t="s">
        <v>602</v>
      </c>
      <c r="AG77" s="363"/>
      <c r="AH77" s="363"/>
      <c r="AI77" s="363"/>
      <c r="AJ77" s="363"/>
      <c r="AK77" s="363"/>
      <c r="AL77" s="363"/>
      <c r="AM77" s="363"/>
      <c r="AN77" s="363"/>
      <c r="AO77" s="363"/>
      <c r="AP77" s="363"/>
      <c r="AQ77" s="363"/>
      <c r="AR77" s="363"/>
      <c r="AS77" s="363"/>
      <c r="AT77" s="363"/>
      <c r="AU77" s="363"/>
      <c r="AV77" s="363"/>
      <c r="AW77" s="363"/>
      <c r="AX77" s="363"/>
      <c r="AY77" s="363"/>
      <c r="AZ77" s="363"/>
      <c r="BA77" s="363"/>
      <c r="BB77" s="363"/>
      <c r="BC77" s="363"/>
      <c r="BD77" s="363"/>
      <c r="BE77" s="363"/>
      <c r="BF77" s="363"/>
      <c r="BG77" s="363"/>
      <c r="BH77" s="363"/>
      <c r="BI77" s="363"/>
      <c r="BJ77" s="363"/>
      <c r="BK77" s="363"/>
      <c r="BL77" s="363"/>
      <c r="BM77" s="363"/>
      <c r="BN77" s="363"/>
      <c r="BO77" s="363"/>
      <c r="BP77" s="363"/>
      <c r="BQ77" s="363"/>
      <c r="BR77" s="363"/>
    </row>
    <row r="78" spans="1:70" x14ac:dyDescent="0.3">
      <c r="A78" s="363"/>
      <c r="B78" s="383"/>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c r="AA78" s="383"/>
      <c r="AB78" s="383"/>
      <c r="AC78" s="383"/>
      <c r="AD78" s="363"/>
      <c r="AE78" s="363"/>
      <c r="AF78" s="363" t="s">
        <v>603</v>
      </c>
      <c r="AG78" s="363"/>
      <c r="AH78" s="363"/>
      <c r="AI78" s="363"/>
      <c r="AJ78" s="363"/>
      <c r="AK78" s="363"/>
      <c r="AL78" s="363"/>
      <c r="AM78" s="363"/>
      <c r="AN78" s="363"/>
      <c r="AO78" s="363"/>
      <c r="AP78" s="363"/>
      <c r="AQ78" s="363"/>
      <c r="AR78" s="363"/>
      <c r="AS78" s="363"/>
      <c r="AT78" s="363"/>
      <c r="AU78" s="363"/>
      <c r="AV78" s="363"/>
      <c r="AW78" s="363"/>
      <c r="AX78" s="363"/>
      <c r="AY78" s="363"/>
      <c r="AZ78" s="363"/>
      <c r="BA78" s="363"/>
      <c r="BB78" s="363"/>
      <c r="BC78" s="363"/>
      <c r="BD78" s="363"/>
      <c r="BE78" s="363"/>
      <c r="BF78" s="363"/>
      <c r="BG78" s="363"/>
      <c r="BH78" s="363"/>
      <c r="BI78" s="363"/>
      <c r="BJ78" s="363"/>
      <c r="BK78" s="363"/>
      <c r="BL78" s="363"/>
      <c r="BM78" s="363"/>
      <c r="BN78" s="363"/>
      <c r="BO78" s="363"/>
      <c r="BP78" s="363"/>
      <c r="BQ78" s="363"/>
      <c r="BR78" s="363"/>
    </row>
    <row r="79" spans="1:70" ht="16.5" customHeight="1" x14ac:dyDescent="0.3">
      <c r="A79" s="363"/>
      <c r="B79" s="383"/>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c r="AA79" s="383"/>
      <c r="AB79" s="383"/>
      <c r="AC79" s="383"/>
      <c r="AD79" s="363"/>
      <c r="AE79" s="363"/>
      <c r="AF79" s="363" t="s">
        <v>604</v>
      </c>
      <c r="AG79" s="363"/>
      <c r="AH79" s="363"/>
      <c r="AI79" s="363"/>
      <c r="AJ79" s="363"/>
      <c r="AK79" s="363"/>
      <c r="AL79" s="363"/>
      <c r="AM79" s="363"/>
      <c r="AN79" s="363"/>
      <c r="AO79" s="363"/>
      <c r="AP79" s="363"/>
      <c r="AQ79" s="363"/>
      <c r="AR79" s="363"/>
      <c r="AS79" s="363"/>
      <c r="AT79" s="363"/>
      <c r="AU79" s="363"/>
      <c r="AV79" s="363"/>
      <c r="AW79" s="363"/>
      <c r="AX79" s="363"/>
      <c r="AY79" s="363"/>
      <c r="AZ79" s="363"/>
      <c r="BA79" s="363"/>
      <c r="BB79" s="363"/>
      <c r="BC79" s="363"/>
      <c r="BD79" s="363"/>
      <c r="BE79" s="363"/>
      <c r="BF79" s="363"/>
      <c r="BG79" s="363"/>
      <c r="BH79" s="363"/>
      <c r="BI79" s="363"/>
      <c r="BJ79" s="363"/>
      <c r="BK79" s="363"/>
      <c r="BL79" s="363"/>
      <c r="BM79" s="363"/>
      <c r="BN79" s="363"/>
      <c r="BO79" s="363"/>
      <c r="BP79" s="363"/>
      <c r="BQ79" s="363"/>
      <c r="BR79" s="363"/>
    </row>
    <row r="80" spans="1:70" x14ac:dyDescent="0.3">
      <c r="A80" s="363"/>
      <c r="B80" s="383"/>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63"/>
      <c r="AE80" s="363"/>
      <c r="AF80" s="363" t="s">
        <v>605</v>
      </c>
      <c r="AG80" s="363"/>
      <c r="AH80" s="363"/>
      <c r="AI80" s="363"/>
      <c r="AJ80" s="363"/>
      <c r="AK80" s="363"/>
      <c r="AL80" s="363"/>
      <c r="AM80" s="363"/>
      <c r="AN80" s="363"/>
      <c r="AO80" s="363"/>
      <c r="AP80" s="363"/>
      <c r="AQ80" s="363"/>
      <c r="AR80" s="363"/>
      <c r="AS80" s="363"/>
      <c r="AT80" s="363"/>
      <c r="AU80" s="363"/>
      <c r="AV80" s="363"/>
      <c r="AW80" s="363"/>
      <c r="AX80" s="363"/>
      <c r="AY80" s="363"/>
      <c r="AZ80" s="363"/>
      <c r="BA80" s="363"/>
      <c r="BB80" s="363"/>
      <c r="BC80" s="363"/>
      <c r="BD80" s="363"/>
      <c r="BE80" s="363"/>
      <c r="BF80" s="363"/>
      <c r="BG80" s="363"/>
      <c r="BH80" s="363"/>
      <c r="BI80" s="363"/>
      <c r="BJ80" s="363"/>
      <c r="BK80" s="363"/>
      <c r="BL80" s="363"/>
      <c r="BM80" s="363"/>
      <c r="BN80" s="363"/>
      <c r="BO80" s="363"/>
      <c r="BP80" s="363"/>
      <c r="BQ80" s="363"/>
      <c r="BR80" s="363"/>
    </row>
    <row r="81" spans="1:70" x14ac:dyDescent="0.3">
      <c r="A81" s="363"/>
      <c r="B81" s="363"/>
      <c r="C81" s="363"/>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363"/>
      <c r="AP81" s="363"/>
      <c r="AQ81" s="363"/>
      <c r="AR81" s="363"/>
      <c r="AS81" s="363"/>
      <c r="AT81" s="363"/>
      <c r="AU81" s="363"/>
      <c r="AV81" s="363"/>
      <c r="AW81" s="363"/>
      <c r="AX81" s="363"/>
      <c r="AY81" s="363"/>
      <c r="AZ81" s="363"/>
      <c r="BA81" s="363"/>
      <c r="BB81" s="363"/>
      <c r="BC81" s="363"/>
      <c r="BD81" s="363"/>
      <c r="BE81" s="363"/>
      <c r="BF81" s="363"/>
      <c r="BG81" s="363"/>
      <c r="BH81" s="363"/>
      <c r="BI81" s="363"/>
      <c r="BJ81" s="363"/>
      <c r="BK81" s="363"/>
      <c r="BL81" s="363"/>
      <c r="BM81" s="363"/>
      <c r="BN81" s="363"/>
      <c r="BO81" s="363"/>
      <c r="BP81" s="363"/>
      <c r="BQ81" s="363"/>
      <c r="BR81" s="363"/>
    </row>
    <row r="82" spans="1:70" x14ac:dyDescent="0.3">
      <c r="A82" s="363"/>
      <c r="B82" s="363"/>
      <c r="C82" s="363"/>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c r="AL82" s="363"/>
      <c r="AM82" s="363"/>
      <c r="AN82" s="363"/>
      <c r="AO82" s="363"/>
      <c r="AP82" s="363"/>
      <c r="AQ82" s="363"/>
      <c r="AR82" s="363"/>
      <c r="AS82" s="363"/>
      <c r="AT82" s="363"/>
      <c r="AU82" s="363"/>
      <c r="AV82" s="363"/>
      <c r="AW82" s="363"/>
      <c r="AX82" s="363"/>
      <c r="AY82" s="363"/>
      <c r="AZ82" s="363"/>
      <c r="BA82" s="363"/>
      <c r="BB82" s="363"/>
      <c r="BC82" s="363"/>
      <c r="BD82" s="363"/>
      <c r="BE82" s="363"/>
      <c r="BF82" s="363"/>
      <c r="BG82" s="363"/>
      <c r="BH82" s="363"/>
      <c r="BI82" s="363"/>
      <c r="BJ82" s="363"/>
      <c r="BK82" s="363"/>
      <c r="BL82" s="363"/>
      <c r="BM82" s="363"/>
      <c r="BN82" s="363"/>
      <c r="BO82" s="363"/>
      <c r="BP82" s="363"/>
      <c r="BQ82" s="363"/>
      <c r="BR82" s="363"/>
    </row>
    <row r="83" spans="1:70" x14ac:dyDescent="0.3">
      <c r="A83" s="363"/>
      <c r="B83" s="363"/>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c r="AL83" s="363"/>
      <c r="AM83" s="363"/>
      <c r="AN83" s="363"/>
      <c r="AO83" s="363"/>
      <c r="AP83" s="363"/>
      <c r="AQ83" s="363"/>
      <c r="AR83" s="363"/>
      <c r="AS83" s="363"/>
      <c r="AT83" s="363"/>
      <c r="AU83" s="363"/>
      <c r="AV83" s="363"/>
      <c r="AW83" s="363"/>
      <c r="AX83" s="363"/>
      <c r="AY83" s="363"/>
      <c r="AZ83" s="363"/>
      <c r="BA83" s="363"/>
      <c r="BB83" s="363"/>
      <c r="BC83" s="363"/>
      <c r="BD83" s="363"/>
      <c r="BE83" s="363"/>
      <c r="BF83" s="363"/>
      <c r="BG83" s="363"/>
      <c r="BH83" s="363"/>
      <c r="BI83" s="363"/>
      <c r="BJ83" s="363"/>
      <c r="BK83" s="363"/>
      <c r="BL83" s="363"/>
      <c r="BM83" s="363"/>
      <c r="BN83" s="363"/>
      <c r="BO83" s="363"/>
      <c r="BP83" s="363"/>
      <c r="BQ83" s="363"/>
      <c r="BR83" s="363"/>
    </row>
    <row r="84" spans="1:70" x14ac:dyDescent="0.3">
      <c r="A84" s="363"/>
      <c r="B84" s="363"/>
      <c r="C84" s="363"/>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363"/>
      <c r="AJ84" s="363"/>
      <c r="AK84" s="363"/>
      <c r="AL84" s="363"/>
      <c r="AM84" s="363"/>
      <c r="AN84" s="363"/>
      <c r="AO84" s="363"/>
      <c r="AP84" s="363"/>
      <c r="AQ84" s="363"/>
      <c r="AR84" s="363"/>
      <c r="AS84" s="363"/>
      <c r="AT84" s="363"/>
      <c r="AU84" s="363"/>
      <c r="AV84" s="363"/>
      <c r="AW84" s="363"/>
      <c r="AX84" s="363"/>
      <c r="AY84" s="363"/>
      <c r="AZ84" s="363"/>
      <c r="BA84" s="363"/>
      <c r="BB84" s="363"/>
      <c r="BC84" s="363"/>
      <c r="BD84" s="363"/>
      <c r="BE84" s="363"/>
      <c r="BF84" s="363"/>
      <c r="BG84" s="363"/>
      <c r="BH84" s="363"/>
      <c r="BI84" s="363"/>
      <c r="BJ84" s="363"/>
      <c r="BK84" s="363"/>
      <c r="BL84" s="363"/>
      <c r="BM84" s="363"/>
      <c r="BN84" s="363"/>
      <c r="BO84" s="363"/>
      <c r="BP84" s="363"/>
      <c r="BQ84" s="363"/>
      <c r="BR84" s="363"/>
    </row>
    <row r="85" spans="1:70" x14ac:dyDescent="0.3">
      <c r="A85" s="363"/>
      <c r="B85" s="363"/>
      <c r="C85" s="363"/>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363"/>
      <c r="AK85" s="363"/>
      <c r="AL85" s="363"/>
      <c r="AM85" s="363"/>
      <c r="AN85" s="363"/>
      <c r="AO85" s="363"/>
      <c r="AP85" s="363"/>
      <c r="AQ85" s="363"/>
      <c r="AR85" s="363"/>
      <c r="AS85" s="363"/>
      <c r="AT85" s="363"/>
      <c r="AU85" s="363"/>
      <c r="AV85" s="363"/>
      <c r="AW85" s="363"/>
      <c r="AX85" s="363"/>
      <c r="AY85" s="363"/>
      <c r="AZ85" s="363"/>
      <c r="BA85" s="363"/>
      <c r="BB85" s="363"/>
      <c r="BC85" s="363"/>
      <c r="BD85" s="363"/>
      <c r="BE85" s="363"/>
      <c r="BF85" s="363"/>
      <c r="BG85" s="363"/>
      <c r="BH85" s="363"/>
      <c r="BI85" s="363"/>
      <c r="BJ85" s="363"/>
      <c r="BK85" s="363"/>
      <c r="BL85" s="363"/>
      <c r="BM85" s="363"/>
      <c r="BN85" s="363"/>
      <c r="BO85" s="363"/>
      <c r="BP85" s="363"/>
      <c r="BQ85" s="363"/>
      <c r="BR85" s="363"/>
    </row>
    <row r="86" spans="1:70" x14ac:dyDescent="0.3">
      <c r="A86" s="363"/>
      <c r="B86" s="363"/>
      <c r="C86" s="363"/>
      <c r="D86" s="363"/>
      <c r="E86" s="363"/>
      <c r="F86" s="363"/>
      <c r="G86" s="363"/>
      <c r="H86" s="363"/>
      <c r="I86" s="363"/>
      <c r="J86" s="363"/>
      <c r="K86" s="363"/>
      <c r="L86" s="36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3"/>
      <c r="BD86" s="363"/>
      <c r="BE86" s="363"/>
      <c r="BF86" s="363"/>
      <c r="BG86" s="363"/>
      <c r="BH86" s="363"/>
      <c r="BI86" s="363"/>
      <c r="BJ86" s="363"/>
      <c r="BK86" s="363"/>
      <c r="BL86" s="363"/>
      <c r="BM86" s="363"/>
      <c r="BN86" s="363"/>
      <c r="BO86" s="363"/>
      <c r="BP86" s="363"/>
      <c r="BQ86" s="363"/>
      <c r="BR86" s="363"/>
    </row>
    <row r="87" spans="1:70" ht="16.5" customHeight="1" x14ac:dyDescent="0.3">
      <c r="A87" s="363"/>
      <c r="B87" s="363"/>
      <c r="C87" s="363"/>
      <c r="D87" s="363"/>
      <c r="E87" s="363"/>
      <c r="F87" s="363"/>
      <c r="G87" s="363"/>
      <c r="H87" s="363"/>
      <c r="I87" s="363"/>
      <c r="J87" s="363"/>
      <c r="K87" s="363"/>
      <c r="L87" s="363"/>
      <c r="M87" s="363"/>
      <c r="N87" s="363"/>
      <c r="O87" s="363"/>
      <c r="P87" s="363"/>
      <c r="Q87" s="363"/>
      <c r="R87" s="363"/>
      <c r="S87" s="363"/>
      <c r="T87" s="363"/>
      <c r="U87" s="363"/>
      <c r="V87" s="363"/>
      <c r="W87" s="363"/>
      <c r="X87" s="363"/>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363"/>
      <c r="BD87" s="363"/>
      <c r="BE87" s="363"/>
      <c r="BF87" s="363"/>
      <c r="BG87" s="363"/>
      <c r="BH87" s="363"/>
      <c r="BI87" s="363"/>
      <c r="BJ87" s="363"/>
      <c r="BK87" s="363"/>
      <c r="BL87" s="363"/>
      <c r="BM87" s="363"/>
      <c r="BN87" s="363"/>
      <c r="BO87" s="363"/>
      <c r="BP87" s="363"/>
      <c r="BQ87" s="363"/>
      <c r="BR87" s="363"/>
    </row>
    <row r="88" spans="1:70" ht="79.5" customHeight="1" x14ac:dyDescent="0.3"/>
  </sheetData>
  <protectedRanges>
    <protectedRange sqref="H6 AA6 F8 E10 I10 AB10 AB13 F15 F17 F19 F21 K15 K17 K19 K21 P15 P17 P19 P21 G34 G36 G38 G40" name="RangoAol"/>
  </protectedRanges>
  <dataConsolidate/>
  <mergeCells count="35">
    <mergeCell ref="L41:AC41"/>
    <mergeCell ref="K29:K32"/>
    <mergeCell ref="K34:K36"/>
    <mergeCell ref="L37:AC38"/>
    <mergeCell ref="K37:K38"/>
    <mergeCell ref="L39:AC40"/>
    <mergeCell ref="K39:K40"/>
    <mergeCell ref="D26:AC27"/>
    <mergeCell ref="L29:AC32"/>
    <mergeCell ref="L34:AC36"/>
    <mergeCell ref="E32:F32"/>
    <mergeCell ref="AB13:AC13"/>
    <mergeCell ref="U13:AA13"/>
    <mergeCell ref="E30:H30"/>
    <mergeCell ref="F15:H15"/>
    <mergeCell ref="F21:H21"/>
    <mergeCell ref="U15:AC24"/>
    <mergeCell ref="W11:AC11"/>
    <mergeCell ref="W10:AA10"/>
    <mergeCell ref="F13:H13"/>
    <mergeCell ref="E10:F10"/>
    <mergeCell ref="I10:U10"/>
    <mergeCell ref="A1:AD2"/>
    <mergeCell ref="B4:AC4"/>
    <mergeCell ref="Y6:Z6"/>
    <mergeCell ref="F8:AC8"/>
    <mergeCell ref="H6:W6"/>
    <mergeCell ref="AA6:AC6"/>
    <mergeCell ref="C6:F6"/>
    <mergeCell ref="C8:E8"/>
    <mergeCell ref="C10:D10"/>
    <mergeCell ref="J13:M13"/>
    <mergeCell ref="O13:R13"/>
    <mergeCell ref="F17:H17"/>
    <mergeCell ref="F19:H19"/>
  </mergeCells>
  <phoneticPr fontId="73" type="noConversion"/>
  <dataValidations count="10">
    <dataValidation type="decimal" operator="lessThanOrEqual" allowBlank="1" showInputMessage="1" showErrorMessage="1" error="La superficie de plantación ha de ser igual o inferior a la superficie de la parcela donde se encuentra." sqref="P15 P17 P19 P21" xr:uid="{00000000-0002-0000-0100-000000000000}">
      <formula1>K15</formula1>
    </dataValidation>
    <dataValidation type="whole" operator="greaterThan" allowBlank="1" showInputMessage="1" showErrorMessage="1" error="El quinto año de plantación ha de ser posterior al cuarto." sqref="G40" xr:uid="{00000000-0002-0000-0100-000001000000}">
      <formula1>G38</formula1>
    </dataValidation>
    <dataValidation type="whole" operator="greaterThan" allowBlank="1" showInputMessage="1" showErrorMessage="1" error="El segundo año de plantación ha de ser posterior al primero." sqref="G34" xr:uid="{00000000-0002-0000-0100-000002000000}">
      <formula1>G32</formula1>
    </dataValidation>
    <dataValidation type="whole" operator="greaterThan" allowBlank="1" showInputMessage="1" showErrorMessage="1" error="El tercer año de plantación ha de ser posterior al segundo." sqref="G36" xr:uid="{00000000-0002-0000-0100-000003000000}">
      <formula1>G34</formula1>
    </dataValidation>
    <dataValidation type="whole" operator="greaterThan" allowBlank="1" showInputMessage="1" showErrorMessage="1" error="El cuarto año de plantación ha de ser posterior al tercero." sqref="G38" xr:uid="{00000000-0002-0000-0100-000004000000}">
      <formula1>G36</formula1>
    </dataValidation>
    <dataValidation type="textLength" operator="equal" allowBlank="1" showInputMessage="1" showErrorMessage="1" error="La referencia catastral es un código alfanumérico que está compuesto por 20 caracteres." sqref="F15:H15 F21:H21 F17:H17 F19:H19" xr:uid="{00000000-0002-0000-0100-000005000000}">
      <formula1>20</formula1>
    </dataValidation>
    <dataValidation type="textLength" operator="equal" allowBlank="1" showInputMessage="1" showErrorMessage="1" error="9 caracteres sin introducir guiones ni puntos." sqref="AA6:AC6" xr:uid="{00000000-0002-0000-0100-000006000000}">
      <formula1>9</formula1>
    </dataValidation>
    <dataValidation type="whole" operator="greaterThanOrEqual" allowBlank="1" showInputMessage="1" showErrorMessage="1" error="El periodo de permanencia ha de ser de 30 años o superior." sqref="AB10" xr:uid="{00000000-0002-0000-0100-000007000000}">
      <formula1>30</formula1>
    </dataValidation>
    <dataValidation type="whole" operator="greaterThanOrEqual" allowBlank="1" showInputMessage="1" showErrorMessage="1" error="La campaña de plantación ha de ser la de 2012-2013 o posterior." sqref="AB13:AC13" xr:uid="{00000000-0002-0000-0100-000008000000}">
      <formula1>2012</formula1>
    </dataValidation>
    <dataValidation type="list" allowBlank="1" showInputMessage="1" showErrorMessage="1" sqref="E10:F10" xr:uid="{00000000-0002-0000-0100-000009000000}">
      <formula1>$AF$2:$AF$80</formula1>
    </dataValidation>
  </dataValidations>
  <pageMargins left="0.70866141732283472" right="0.70866141732283472" top="0.74803149606299213" bottom="0.74803149606299213" header="0.31496062992125984" footer="0.31496062992125984"/>
  <pageSetup paperSize="9" scale="3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dimension ref="A1:ED4892"/>
  <sheetViews>
    <sheetView showGridLines="0" showRowColHeaders="0" topLeftCell="A23" zoomScaleNormal="100" workbookViewId="0">
      <selection activeCell="G49" sqref="G49"/>
    </sheetView>
  </sheetViews>
  <sheetFormatPr baseColWidth="10" defaultColWidth="11.42578125" defaultRowHeight="16.5" x14ac:dyDescent="0.3"/>
  <cols>
    <col min="1" max="1" width="4.85546875" style="200" customWidth="1"/>
    <col min="2" max="2" width="2.42578125" style="200" customWidth="1"/>
    <col min="3" max="3" width="5.85546875" style="200" customWidth="1"/>
    <col min="4" max="4" width="35.28515625" style="200" customWidth="1"/>
    <col min="5" max="5" width="9.7109375" style="200" customWidth="1"/>
    <col min="6" max="6" width="9.140625" style="200" customWidth="1"/>
    <col min="7" max="7" width="10.7109375" style="200" customWidth="1"/>
    <col min="8" max="8" width="11.28515625" style="200" customWidth="1"/>
    <col min="9" max="10" width="10.7109375" style="200" customWidth="1"/>
    <col min="11" max="11" width="7.85546875" style="200" customWidth="1"/>
    <col min="12" max="12" width="3.5703125" style="200" customWidth="1"/>
    <col min="13" max="13" width="6.140625" style="200" customWidth="1"/>
    <col min="14" max="14" width="3" style="200" customWidth="1"/>
    <col min="15" max="15" width="7.140625" style="200" customWidth="1"/>
    <col min="16" max="16" width="2.7109375" style="200" customWidth="1"/>
    <col min="17" max="17" width="6.7109375" style="200" customWidth="1"/>
    <col min="18" max="18" width="5" style="200" customWidth="1"/>
    <col min="19" max="19" width="11.42578125" style="200"/>
    <col min="20" max="20" width="14.28515625" style="200" customWidth="1"/>
    <col min="21" max="21" width="4.140625" style="200" customWidth="1"/>
    <col min="22" max="22" width="1.42578125" style="200" bestFit="1" customWidth="1"/>
    <col min="23" max="23" width="11.42578125" style="200" hidden="1" customWidth="1"/>
    <col min="24" max="24" width="41" style="200" hidden="1" customWidth="1"/>
    <col min="25" max="29" width="9.5703125" style="200" hidden="1" customWidth="1"/>
    <col min="30" max="30" width="41" style="200" hidden="1" customWidth="1"/>
    <col min="31" max="31" width="5.42578125" style="200" hidden="1" customWidth="1"/>
    <col min="32" max="32" width="8.7109375" style="200" hidden="1" customWidth="1"/>
    <col min="33" max="33" width="7.42578125" style="200" hidden="1" customWidth="1"/>
    <col min="34" max="34" width="10.140625" style="200" hidden="1" customWidth="1"/>
    <col min="35" max="35" width="5.5703125" style="200" hidden="1" customWidth="1"/>
    <col min="36" max="36" width="8.85546875" style="200" hidden="1" customWidth="1"/>
    <col min="37" max="37" width="26.42578125" style="200" hidden="1" customWidth="1"/>
    <col min="38" max="38" width="24" style="200" hidden="1" customWidth="1"/>
    <col min="39" max="39" width="9" style="200" hidden="1" customWidth="1"/>
    <col min="40" max="40" width="34.140625" style="200" hidden="1" customWidth="1"/>
    <col min="41" max="41" width="34.28515625" style="200" hidden="1" customWidth="1"/>
    <col min="42" max="42" width="22" style="200" hidden="1" customWidth="1"/>
    <col min="43" max="43" width="18" style="200" hidden="1" customWidth="1"/>
    <col min="44" max="44" width="26" style="200" hidden="1" customWidth="1"/>
    <col min="45" max="58" width="11.42578125" style="435" customWidth="1"/>
    <col min="59" max="134" width="11.42578125" style="435"/>
    <col min="135" max="16384" width="11.42578125" style="200"/>
  </cols>
  <sheetData>
    <row r="1" spans="1:39" ht="15" customHeight="1" x14ac:dyDescent="0.3">
      <c r="A1" s="636" t="s">
        <v>628</v>
      </c>
      <c r="B1" s="636"/>
      <c r="C1" s="636"/>
      <c r="D1" s="636"/>
      <c r="E1" s="636"/>
      <c r="F1" s="636"/>
      <c r="G1" s="636"/>
      <c r="H1" s="636"/>
      <c r="I1" s="636"/>
      <c r="J1" s="636"/>
      <c r="K1" s="636"/>
      <c r="L1" s="636"/>
      <c r="M1" s="636"/>
      <c r="N1" s="636"/>
      <c r="O1" s="636"/>
      <c r="P1" s="636"/>
      <c r="Q1" s="636"/>
      <c r="R1" s="636"/>
      <c r="S1" s="636"/>
      <c r="T1" s="636"/>
      <c r="U1" s="435"/>
      <c r="V1" s="390"/>
      <c r="W1" s="390"/>
      <c r="AB1" s="230" t="s">
        <v>375</v>
      </c>
      <c r="AC1" s="230" t="s">
        <v>376</v>
      </c>
      <c r="AD1" s="230" t="s">
        <v>377</v>
      </c>
      <c r="AE1" s="230" t="s">
        <v>378</v>
      </c>
      <c r="AF1" s="230" t="s">
        <v>379</v>
      </c>
      <c r="AG1" s="212"/>
      <c r="AH1" s="217" t="s">
        <v>384</v>
      </c>
      <c r="AI1" s="298">
        <f>'1. Datos generales proyecto'!P23-AI2</f>
        <v>0</v>
      </c>
      <c r="AM1" s="212" t="s">
        <v>388</v>
      </c>
    </row>
    <row r="2" spans="1:39" ht="33" customHeight="1" x14ac:dyDescent="0.3">
      <c r="A2" s="636"/>
      <c r="B2" s="636"/>
      <c r="C2" s="636"/>
      <c r="D2" s="636"/>
      <c r="E2" s="636"/>
      <c r="F2" s="636"/>
      <c r="G2" s="636"/>
      <c r="H2" s="636"/>
      <c r="I2" s="636"/>
      <c r="J2" s="636"/>
      <c r="K2" s="636"/>
      <c r="L2" s="636"/>
      <c r="M2" s="636"/>
      <c r="N2" s="636"/>
      <c r="O2" s="636"/>
      <c r="P2" s="636"/>
      <c r="Q2" s="636"/>
      <c r="R2" s="636"/>
      <c r="S2" s="636"/>
      <c r="T2" s="636"/>
      <c r="U2" s="435"/>
      <c r="V2" s="390"/>
      <c r="W2" s="390"/>
      <c r="X2" s="609" t="s">
        <v>353</v>
      </c>
      <c r="Y2" s="609"/>
      <c r="Z2" s="314">
        <f>IF(OR('1. Datos generales proyecto'!AB10&lt;50,'1. Datos generales proyecto'!AB10=50),'1. Datos generales proyecto'!AB10,50)</f>
        <v>0</v>
      </c>
      <c r="AB2" s="218" t="str">
        <f>IF(ISNUMBER('1. Datos generales proyecto'!G32),'1. Datos generales proyecto'!G32,"")</f>
        <v/>
      </c>
      <c r="AC2" s="218" t="str">
        <f>IF(ISNUMBER('1. Datos generales proyecto'!G34),'1. Datos generales proyecto'!G34,"")</f>
        <v/>
      </c>
      <c r="AD2" s="218" t="str">
        <f>IF(ISNUMBER('1. Datos generales proyecto'!G36),'1. Datos generales proyecto'!G36,"")</f>
        <v/>
      </c>
      <c r="AE2" s="218" t="str">
        <f>IF(ISNUMBER('1. Datos generales proyecto'!G38),'1. Datos generales proyecto'!G38,"")</f>
        <v/>
      </c>
      <c r="AF2" s="218" t="str">
        <f>IF(ISNUMBER('1. Datos generales proyecto'!G40),'1. Datos generales proyecto'!G40,"")</f>
        <v/>
      </c>
      <c r="AG2" s="212"/>
      <c r="AH2" s="217" t="s">
        <v>385</v>
      </c>
      <c r="AI2" s="224">
        <f>SUM(G43:G57)</f>
        <v>0</v>
      </c>
      <c r="AM2" s="225" t="str">
        <f>AB2</f>
        <v/>
      </c>
    </row>
    <row r="3" spans="1:39" ht="33" customHeight="1" x14ac:dyDescent="0.3">
      <c r="A3" s="390"/>
      <c r="B3" s="390"/>
      <c r="C3" s="390"/>
      <c r="D3" s="390"/>
      <c r="E3" s="390"/>
      <c r="F3" s="390"/>
      <c r="G3" s="390"/>
      <c r="H3" s="391"/>
      <c r="I3" s="390"/>
      <c r="J3" s="390"/>
      <c r="K3" s="391"/>
      <c r="L3" s="390"/>
      <c r="M3" s="391"/>
      <c r="N3" s="390"/>
      <c r="O3" s="390"/>
      <c r="P3" s="390"/>
      <c r="Q3" s="390"/>
      <c r="R3" s="390"/>
      <c r="S3" s="390"/>
      <c r="T3" s="390"/>
      <c r="U3" s="390"/>
      <c r="V3" s="390"/>
      <c r="W3" s="390"/>
      <c r="X3" s="623" t="s">
        <v>464</v>
      </c>
      <c r="Y3" s="609"/>
      <c r="Z3" s="298">
        <f>AI1+AI2</f>
        <v>0</v>
      </c>
      <c r="AA3" s="312"/>
      <c r="AB3" s="312"/>
      <c r="AC3" s="312"/>
      <c r="AD3" s="312"/>
      <c r="AG3" s="212"/>
      <c r="AM3" s="225" t="str">
        <f>AC2</f>
        <v/>
      </c>
    </row>
    <row r="4" spans="1:39" ht="31.5" customHeight="1" x14ac:dyDescent="0.3">
      <c r="A4" s="435"/>
      <c r="B4" s="563" t="s">
        <v>367</v>
      </c>
      <c r="C4" s="563"/>
      <c r="D4" s="563"/>
      <c r="E4" s="563"/>
      <c r="F4" s="563"/>
      <c r="G4" s="563"/>
      <c r="H4" s="563"/>
      <c r="I4" s="563"/>
      <c r="J4" s="563"/>
      <c r="K4" s="563"/>
      <c r="L4" s="563"/>
      <c r="M4" s="563"/>
      <c r="N4" s="563"/>
      <c r="O4" s="563"/>
      <c r="P4" s="563"/>
      <c r="Q4" s="563"/>
      <c r="R4" s="563"/>
      <c r="S4" s="563"/>
      <c r="T4" s="563"/>
      <c r="U4" s="435"/>
      <c r="V4" s="435"/>
      <c r="W4" s="435"/>
      <c r="X4" s="188" t="s">
        <v>296</v>
      </c>
      <c r="Y4" s="189" t="s">
        <v>297</v>
      </c>
      <c r="Z4" s="190" t="s">
        <v>298</v>
      </c>
      <c r="AA4" s="191" t="s">
        <v>299</v>
      </c>
      <c r="AB4" s="192" t="s">
        <v>300</v>
      </c>
      <c r="AC4" s="193" t="s">
        <v>301</v>
      </c>
      <c r="AD4" s="194" t="s">
        <v>75</v>
      </c>
      <c r="AF4" s="221" t="s">
        <v>381</v>
      </c>
      <c r="AG4" s="221" t="s">
        <v>380</v>
      </c>
      <c r="AH4" s="219" t="s">
        <v>308</v>
      </c>
      <c r="AI4" s="199" t="s">
        <v>309</v>
      </c>
      <c r="AJ4" s="199" t="s">
        <v>313</v>
      </c>
      <c r="AK4" s="196" t="s">
        <v>302</v>
      </c>
      <c r="AL4" s="187" t="s">
        <v>303</v>
      </c>
      <c r="AM4" s="225" t="str">
        <f>AD2</f>
        <v/>
      </c>
    </row>
    <row r="5" spans="1:39" ht="15" customHeight="1" thickBot="1" x14ac:dyDescent="0.35">
      <c r="A5" s="435"/>
      <c r="B5" s="435"/>
      <c r="C5" s="473"/>
      <c r="D5" s="473"/>
      <c r="E5" s="473"/>
      <c r="F5" s="473"/>
      <c r="G5" s="473"/>
      <c r="H5" s="473"/>
      <c r="I5" s="473"/>
      <c r="J5" s="473"/>
      <c r="K5" s="473"/>
      <c r="L5" s="473"/>
      <c r="M5" s="473"/>
      <c r="N5" s="473"/>
      <c r="O5" s="473"/>
      <c r="P5" s="473"/>
      <c r="Q5" s="473"/>
      <c r="R5" s="473"/>
      <c r="S5" s="473"/>
      <c r="T5" s="473"/>
      <c r="U5" s="435"/>
      <c r="V5" s="435"/>
      <c r="W5" s="435"/>
      <c r="X5" s="201" t="s">
        <v>507</v>
      </c>
      <c r="Y5" s="301">
        <v>6.3544816116135994E-2</v>
      </c>
      <c r="Z5" s="301">
        <v>7.943102014517002E-2</v>
      </c>
      <c r="AA5" s="301">
        <v>9.5317224174204004E-2</v>
      </c>
      <c r="AB5" s="301">
        <v>0.111203428203238</v>
      </c>
      <c r="AC5" s="301">
        <v>0.12708963223227199</v>
      </c>
      <c r="AD5" s="244" t="s">
        <v>404</v>
      </c>
      <c r="AF5" s="222">
        <f>E20</f>
        <v>0</v>
      </c>
      <c r="AG5" s="222" t="str">
        <f>IF(ISNUMBER(E20),AF5-$AB$2,"")</f>
        <v/>
      </c>
      <c r="AH5" s="220" t="e">
        <f t="shared" ref="AH5:AH19" si="0">IF((VLOOKUP(D20,$X$4:$AC$94,4,0)+($Z$2-AG5-30)*((VLOOKUP(D20,$X$4:$AC$94,5,0)-VLOOKUP(D20,$X$4:$AC$94,4,0))/5))&gt;0,(VLOOKUP(D20,$X$4:$AC$94,4,0)+($Z$2-AG5-30)*((VLOOKUP(D20,$X$4:$AC$94,5,0)-VLOOKUP(D20,$X$4:$AC$94,4,0))/5)),0)</f>
        <v>#N/A</v>
      </c>
      <c r="AI5" s="198" t="e">
        <f t="shared" ref="AI5:AI19" si="1">IF((VLOOKUP(D20,$X$4:$AC$94,5,0)+($Z$2-AG5-35)*((VLOOKUP(D20,$X$4:$AC$94,6,0)-VLOOKUP(D20,$X$4:$AC$94,5,0))/5))&gt;0,(VLOOKUP(D20,$X$4:$AC$94,5,0)+($Z$2-AG5-35)*((VLOOKUP(D20,$X$4:$AC$94,6,0)-VLOOKUP(D20,$X$4:$AC$94,5,0))/5)),0)</f>
        <v>#N/A</v>
      </c>
      <c r="AJ5" s="198" t="e">
        <f>VLOOKUP(D20,X4:AC94,6,0)*($Z$2-AG5)/40</f>
        <v>#N/A</v>
      </c>
      <c r="AK5" s="207" t="e">
        <f>IF(OR($Z$2-AG5=30,$Z$2-AG5&lt;35),AH5,IF(OR($Z$2-AG5=35,AND($Z$2-AG5&lt;40,$Z$2-AG5&gt;35)),AI5,AJ5))</f>
        <v>#VALUE!</v>
      </c>
      <c r="AL5" s="195" t="e">
        <f>AK5*F20</f>
        <v>#VALUE!</v>
      </c>
      <c r="AM5" s="225" t="str">
        <f>AE2</f>
        <v/>
      </c>
    </row>
    <row r="6" spans="1:39" ht="19.5" customHeight="1" x14ac:dyDescent="0.3">
      <c r="A6" s="435"/>
      <c r="B6" s="614" t="s">
        <v>606</v>
      </c>
      <c r="C6" s="615"/>
      <c r="D6" s="615"/>
      <c r="E6" s="615"/>
      <c r="F6" s="615"/>
      <c r="G6" s="615"/>
      <c r="H6" s="615"/>
      <c r="I6" s="615"/>
      <c r="J6" s="615"/>
      <c r="K6" s="615"/>
      <c r="L6" s="615"/>
      <c r="M6" s="615"/>
      <c r="N6" s="615"/>
      <c r="O6" s="615"/>
      <c r="P6" s="615"/>
      <c r="Q6" s="615"/>
      <c r="R6" s="615"/>
      <c r="S6" s="615"/>
      <c r="T6" s="616"/>
      <c r="U6" s="435"/>
      <c r="V6" s="435"/>
      <c r="W6" s="435"/>
      <c r="X6" s="201" t="s">
        <v>167</v>
      </c>
      <c r="Y6" s="301">
        <v>0.21939097084791426</v>
      </c>
      <c r="Z6" s="301">
        <v>0.27423871355989282</v>
      </c>
      <c r="AA6" s="301">
        <v>0.32908645627187133</v>
      </c>
      <c r="AB6" s="301">
        <v>0.38393419898384989</v>
      </c>
      <c r="AC6" s="301">
        <v>0.43878194169582851</v>
      </c>
      <c r="AD6" s="244" t="s">
        <v>404</v>
      </c>
      <c r="AF6" s="222">
        <f t="shared" ref="AF6:AF18" si="2">E21</f>
        <v>0</v>
      </c>
      <c r="AG6" s="222" t="str">
        <f>IF(ISNUMBER(E21),AF6-$AB$2,"")</f>
        <v/>
      </c>
      <c r="AH6" s="220" t="e">
        <f t="shared" si="0"/>
        <v>#N/A</v>
      </c>
      <c r="AI6" s="198" t="e">
        <f t="shared" si="1"/>
        <v>#N/A</v>
      </c>
      <c r="AJ6" s="198" t="e">
        <f>VLOOKUP(D21,X5:AC94,6,0)*($Z$2-AG6)/40</f>
        <v>#N/A</v>
      </c>
      <c r="AK6" s="207" t="e">
        <f t="shared" ref="AK6:AK19" si="3">IF(OR($Z$2-AG6=30,$Z$2-AG6&lt;35),AH6,IF(OR($Z$2-AG6=35,AND($Z$2-AG6&lt;40,$Z$2-AG6&gt;35)),AI6,AJ6))</f>
        <v>#VALUE!</v>
      </c>
      <c r="AL6" s="195" t="e">
        <f t="shared" ref="AL6:AL19" si="4">AK6*F21</f>
        <v>#VALUE!</v>
      </c>
      <c r="AM6" s="225" t="str">
        <f>AF2</f>
        <v/>
      </c>
    </row>
    <row r="7" spans="1:39" ht="19.5" customHeight="1" x14ac:dyDescent="0.3">
      <c r="A7" s="435"/>
      <c r="B7" s="617"/>
      <c r="C7" s="618"/>
      <c r="D7" s="618"/>
      <c r="E7" s="618"/>
      <c r="F7" s="618"/>
      <c r="G7" s="618"/>
      <c r="H7" s="618"/>
      <c r="I7" s="618"/>
      <c r="J7" s="618"/>
      <c r="K7" s="618"/>
      <c r="L7" s="618"/>
      <c r="M7" s="618"/>
      <c r="N7" s="618"/>
      <c r="O7" s="618"/>
      <c r="P7" s="618"/>
      <c r="Q7" s="618"/>
      <c r="R7" s="618"/>
      <c r="S7" s="618"/>
      <c r="T7" s="619"/>
      <c r="U7" s="435"/>
      <c r="V7" s="435"/>
      <c r="W7" s="435"/>
      <c r="X7" s="201" t="s">
        <v>141</v>
      </c>
      <c r="Y7" s="301">
        <v>0.14975536130234138</v>
      </c>
      <c r="Z7" s="301">
        <v>0.18719420162792669</v>
      </c>
      <c r="AA7" s="301">
        <v>0.22463304195351205</v>
      </c>
      <c r="AB7" s="301">
        <v>0.26207188227909739</v>
      </c>
      <c r="AC7" s="301">
        <v>0.29951072260468276</v>
      </c>
      <c r="AD7" s="244" t="s">
        <v>405</v>
      </c>
      <c r="AF7" s="222">
        <f t="shared" si="2"/>
        <v>0</v>
      </c>
      <c r="AG7" s="222" t="str">
        <f>IF(ISNUMBER(E22),AF7-$AB$2,"")</f>
        <v/>
      </c>
      <c r="AH7" s="220" t="e">
        <f t="shared" si="0"/>
        <v>#N/A</v>
      </c>
      <c r="AI7" s="198" t="e">
        <f t="shared" si="1"/>
        <v>#N/A</v>
      </c>
      <c r="AJ7" s="198" t="e">
        <f>VLOOKUP(D22,X6:AC94,6,0)*($Z$2-AG7)/40</f>
        <v>#N/A</v>
      </c>
      <c r="AK7" s="207" t="e">
        <f t="shared" si="3"/>
        <v>#VALUE!</v>
      </c>
      <c r="AL7" s="195" t="e">
        <f t="shared" si="4"/>
        <v>#VALUE!</v>
      </c>
    </row>
    <row r="8" spans="1:39" ht="19.5" customHeight="1" x14ac:dyDescent="0.3">
      <c r="A8" s="435"/>
      <c r="B8" s="617"/>
      <c r="C8" s="618"/>
      <c r="D8" s="618"/>
      <c r="E8" s="618"/>
      <c r="F8" s="618"/>
      <c r="G8" s="618"/>
      <c r="H8" s="618"/>
      <c r="I8" s="618"/>
      <c r="J8" s="618"/>
      <c r="K8" s="618"/>
      <c r="L8" s="618"/>
      <c r="M8" s="618"/>
      <c r="N8" s="618"/>
      <c r="O8" s="618"/>
      <c r="P8" s="618"/>
      <c r="Q8" s="618"/>
      <c r="R8" s="618"/>
      <c r="S8" s="618"/>
      <c r="T8" s="619"/>
      <c r="U8" s="435"/>
      <c r="V8" s="435"/>
      <c r="W8" s="435"/>
      <c r="X8" s="201" t="s">
        <v>6</v>
      </c>
      <c r="Y8" s="301">
        <v>6.4771159639729098E-2</v>
      </c>
      <c r="Z8" s="301">
        <v>8.0963949549661379E-2</v>
      </c>
      <c r="AA8" s="301">
        <v>9.7156739459593647E-2</v>
      </c>
      <c r="AB8" s="301">
        <v>0.11334952936952593</v>
      </c>
      <c r="AC8" s="301">
        <v>0.1295423192794582</v>
      </c>
      <c r="AD8" s="244" t="s">
        <v>405</v>
      </c>
      <c r="AF8" s="222">
        <f t="shared" si="2"/>
        <v>0</v>
      </c>
      <c r="AG8" s="222" t="str">
        <f t="shared" ref="AG8:AG19" si="5">IF(ISNUMBER(E23),AF8-$AB$2,"")</f>
        <v/>
      </c>
      <c r="AH8" s="220" t="e">
        <f t="shared" si="0"/>
        <v>#N/A</v>
      </c>
      <c r="AI8" s="198" t="e">
        <f t="shared" si="1"/>
        <v>#N/A</v>
      </c>
      <c r="AJ8" s="198" t="e">
        <f>VLOOKUP(D23,X7:AC94,6,0)*($Z$2-AG8)/40</f>
        <v>#N/A</v>
      </c>
      <c r="AK8" s="207" t="e">
        <f t="shared" si="3"/>
        <v>#VALUE!</v>
      </c>
      <c r="AL8" s="195" t="e">
        <f t="shared" si="4"/>
        <v>#VALUE!</v>
      </c>
    </row>
    <row r="9" spans="1:39" ht="19.5" customHeight="1" thickBot="1" x14ac:dyDescent="0.35">
      <c r="A9" s="435"/>
      <c r="B9" s="620"/>
      <c r="C9" s="621"/>
      <c r="D9" s="621"/>
      <c r="E9" s="621"/>
      <c r="F9" s="621"/>
      <c r="G9" s="621"/>
      <c r="H9" s="621"/>
      <c r="I9" s="621"/>
      <c r="J9" s="621"/>
      <c r="K9" s="621"/>
      <c r="L9" s="621"/>
      <c r="M9" s="621"/>
      <c r="N9" s="621"/>
      <c r="O9" s="621"/>
      <c r="P9" s="621"/>
      <c r="Q9" s="621"/>
      <c r="R9" s="621"/>
      <c r="S9" s="621"/>
      <c r="T9" s="622"/>
      <c r="U9" s="435"/>
      <c r="V9" s="435"/>
      <c r="W9" s="435"/>
      <c r="X9" s="201" t="s">
        <v>7</v>
      </c>
      <c r="Y9" s="301">
        <v>4.2905184381875593E-2</v>
      </c>
      <c r="Z9" s="301">
        <v>0.11203292161465764</v>
      </c>
      <c r="AA9" s="301">
        <v>0.20516585167863827</v>
      </c>
      <c r="AB9" s="301">
        <v>0.34790001540782683</v>
      </c>
      <c r="AC9" s="301">
        <v>0.39760001760894487</v>
      </c>
      <c r="AD9" s="244" t="s">
        <v>333</v>
      </c>
      <c r="AF9" s="222">
        <f t="shared" si="2"/>
        <v>0</v>
      </c>
      <c r="AG9" s="222" t="str">
        <f t="shared" si="5"/>
        <v/>
      </c>
      <c r="AH9" s="220" t="e">
        <f t="shared" si="0"/>
        <v>#N/A</v>
      </c>
      <c r="AI9" s="198" t="e">
        <f t="shared" si="1"/>
        <v>#N/A</v>
      </c>
      <c r="AJ9" s="198" t="e">
        <f>VLOOKUP(D24,X7:AC94,6,0)*($Z$2-AG9)/40</f>
        <v>#N/A</v>
      </c>
      <c r="AK9" s="207" t="e">
        <f t="shared" si="3"/>
        <v>#VALUE!</v>
      </c>
      <c r="AL9" s="195" t="e">
        <f t="shared" si="4"/>
        <v>#VALUE!</v>
      </c>
    </row>
    <row r="10" spans="1:39" ht="10.5" customHeight="1" x14ac:dyDescent="0.3">
      <c r="A10" s="435"/>
      <c r="B10" s="474"/>
      <c r="C10" s="474"/>
      <c r="D10" s="474"/>
      <c r="E10" s="474"/>
      <c r="F10" s="474"/>
      <c r="G10" s="474"/>
      <c r="H10" s="474"/>
      <c r="I10" s="474"/>
      <c r="J10" s="474"/>
      <c r="K10" s="474"/>
      <c r="L10" s="474"/>
      <c r="M10" s="474"/>
      <c r="N10" s="474"/>
      <c r="O10" s="474"/>
      <c r="P10" s="474"/>
      <c r="Q10" s="474"/>
      <c r="R10" s="474"/>
      <c r="S10" s="474"/>
      <c r="T10" s="474"/>
      <c r="U10" s="435"/>
      <c r="V10" s="435"/>
      <c r="W10" s="435"/>
      <c r="X10" s="201" t="s">
        <v>8</v>
      </c>
      <c r="Y10" s="301">
        <v>5.9604517312365456E-2</v>
      </c>
      <c r="Z10" s="301">
        <v>7.4505646640456821E-2</v>
      </c>
      <c r="AA10" s="301">
        <v>8.9406775968548208E-2</v>
      </c>
      <c r="AB10" s="301">
        <v>0.10430790529663955</v>
      </c>
      <c r="AC10" s="301">
        <v>0.11920903462473091</v>
      </c>
      <c r="AD10" s="244" t="s">
        <v>405</v>
      </c>
      <c r="AF10" s="222">
        <f t="shared" si="2"/>
        <v>0</v>
      </c>
      <c r="AG10" s="222" t="str">
        <f t="shared" si="5"/>
        <v/>
      </c>
      <c r="AH10" s="220" t="e">
        <f t="shared" si="0"/>
        <v>#N/A</v>
      </c>
      <c r="AI10" s="198" t="e">
        <f t="shared" si="1"/>
        <v>#N/A</v>
      </c>
      <c r="AJ10" s="198" t="e">
        <f>VLOOKUP(D25,X9:AC94,6,0)*($Z$2-AG10)/40</f>
        <v>#N/A</v>
      </c>
      <c r="AK10" s="207" t="e">
        <f t="shared" si="3"/>
        <v>#VALUE!</v>
      </c>
      <c r="AL10" s="195" t="e">
        <f t="shared" si="4"/>
        <v>#VALUE!</v>
      </c>
    </row>
    <row r="11" spans="1:39" ht="33.75" hidden="1" customHeight="1" x14ac:dyDescent="0.65">
      <c r="B11" s="214"/>
      <c r="C11" s="214"/>
      <c r="D11" s="216"/>
      <c r="E11" s="302"/>
      <c r="F11" s="630" t="s">
        <v>452</v>
      </c>
      <c r="G11" s="631"/>
      <c r="H11" s="631"/>
      <c r="I11" s="631"/>
      <c r="J11" s="632"/>
      <c r="K11" s="624">
        <f>SUM(S20+S43)</f>
        <v>0</v>
      </c>
      <c r="L11" s="625"/>
      <c r="M11" s="287" t="s">
        <v>372</v>
      </c>
      <c r="N11" s="214"/>
      <c r="O11" s="214"/>
      <c r="P11" s="214"/>
      <c r="Q11" s="214"/>
      <c r="R11" s="214"/>
      <c r="S11" s="214"/>
      <c r="T11" s="214"/>
      <c r="X11" s="201" t="s">
        <v>2</v>
      </c>
      <c r="Y11" s="301">
        <v>6.2278228970051946E-2</v>
      </c>
      <c r="Z11" s="301">
        <v>7.784778621256494E-2</v>
      </c>
      <c r="AA11" s="301">
        <v>9.3417343455077906E-2</v>
      </c>
      <c r="AB11" s="301">
        <v>0.1089869006975909</v>
      </c>
      <c r="AC11" s="301">
        <v>0.12455645794010389</v>
      </c>
      <c r="AD11" s="244" t="s">
        <v>405</v>
      </c>
      <c r="AF11" s="222">
        <f t="shared" si="2"/>
        <v>0</v>
      </c>
      <c r="AG11" s="222" t="str">
        <f t="shared" si="5"/>
        <v/>
      </c>
      <c r="AH11" s="220" t="e">
        <f t="shared" si="0"/>
        <v>#N/A</v>
      </c>
      <c r="AI11" s="198" t="e">
        <f t="shared" si="1"/>
        <v>#N/A</v>
      </c>
      <c r="AJ11" s="198" t="e">
        <f>VLOOKUP(D26,X8:AC94,6,0)*($Z$2-AG11)/40</f>
        <v>#N/A</v>
      </c>
      <c r="AK11" s="207" t="e">
        <f t="shared" si="3"/>
        <v>#VALUE!</v>
      </c>
      <c r="AL11" s="195" t="e">
        <f t="shared" si="4"/>
        <v>#VALUE!</v>
      </c>
    </row>
    <row r="12" spans="1:39" ht="18" hidden="1" customHeight="1" x14ac:dyDescent="0.3">
      <c r="A12" s="212"/>
      <c r="C12" s="213"/>
      <c r="D12" s="213"/>
      <c r="L12" s="213"/>
      <c r="M12" s="213"/>
      <c r="N12" s="213"/>
      <c r="O12" s="213"/>
      <c r="P12" s="213"/>
      <c r="Q12" s="213"/>
      <c r="R12" s="213"/>
      <c r="S12" s="213"/>
      <c r="T12" s="213"/>
      <c r="X12" s="516" t="s">
        <v>633</v>
      </c>
      <c r="Y12" s="517">
        <v>0.23679799827557932</v>
      </c>
      <c r="Z12" s="517">
        <v>0.32389891952979127</v>
      </c>
      <c r="AA12" s="517">
        <v>0.40204354808515036</v>
      </c>
      <c r="AB12" s="517">
        <v>0.47018400063806043</v>
      </c>
      <c r="AC12" s="517">
        <v>0.52891384829808252</v>
      </c>
      <c r="AD12" s="521" t="s">
        <v>634</v>
      </c>
      <c r="AF12" s="222">
        <f t="shared" si="2"/>
        <v>0</v>
      </c>
      <c r="AG12" s="222" t="str">
        <f t="shared" si="5"/>
        <v/>
      </c>
      <c r="AH12" s="220" t="e">
        <f t="shared" si="0"/>
        <v>#N/A</v>
      </c>
      <c r="AI12" s="198" t="e">
        <f t="shared" si="1"/>
        <v>#N/A</v>
      </c>
      <c r="AJ12" s="198" t="e">
        <f>VLOOKUP(D27,X11:AC94,6,0)*($Z$2-AG12)/40</f>
        <v>#N/A</v>
      </c>
      <c r="AK12" s="207" t="e">
        <f t="shared" si="3"/>
        <v>#VALUE!</v>
      </c>
      <c r="AL12" s="195" t="e">
        <f t="shared" si="4"/>
        <v>#VALUE!</v>
      </c>
    </row>
    <row r="13" spans="1:39" ht="23.25" customHeight="1" x14ac:dyDescent="0.3">
      <c r="A13" s="435"/>
      <c r="B13" s="435"/>
      <c r="C13" s="628" t="s">
        <v>618</v>
      </c>
      <c r="D13" s="629"/>
      <c r="E13" s="629"/>
      <c r="F13" s="629"/>
      <c r="G13" s="629"/>
      <c r="H13" s="629"/>
      <c r="I13" s="629"/>
      <c r="J13" s="629"/>
      <c r="K13" s="629"/>
      <c r="L13" s="629"/>
      <c r="M13" s="629"/>
      <c r="N13" s="629"/>
      <c r="O13" s="629"/>
      <c r="P13" s="629"/>
      <c r="Q13" s="629"/>
      <c r="R13" s="629"/>
      <c r="S13" s="629"/>
      <c r="T13" s="629"/>
      <c r="U13" s="435"/>
      <c r="V13" s="435"/>
      <c r="W13" s="435"/>
      <c r="X13" s="201" t="s">
        <v>9</v>
      </c>
      <c r="Y13" s="301">
        <v>6.2278228970051946E-2</v>
      </c>
      <c r="Z13" s="301">
        <v>7.784778621256494E-2</v>
      </c>
      <c r="AA13" s="301">
        <v>9.3417343455077906E-2</v>
      </c>
      <c r="AB13" s="301">
        <v>0.1089869006975909</v>
      </c>
      <c r="AC13" s="301">
        <v>0.12455645794010389</v>
      </c>
      <c r="AD13" s="244" t="s">
        <v>333</v>
      </c>
      <c r="AF13" s="222">
        <f t="shared" si="2"/>
        <v>0</v>
      </c>
      <c r="AG13" s="222" t="str">
        <f t="shared" si="5"/>
        <v/>
      </c>
      <c r="AH13" s="220" t="e">
        <f t="shared" si="0"/>
        <v>#N/A</v>
      </c>
      <c r="AI13" s="198" t="e">
        <f t="shared" si="1"/>
        <v>#N/A</v>
      </c>
      <c r="AJ13" s="198" t="e">
        <f>VLOOKUP(D28,X13:AC94,6,0)*($Z$2-AG13)/40</f>
        <v>#N/A</v>
      </c>
      <c r="AK13" s="207" t="e">
        <f t="shared" si="3"/>
        <v>#VALUE!</v>
      </c>
      <c r="AL13" s="195" t="e">
        <f t="shared" si="4"/>
        <v>#VALUE!</v>
      </c>
    </row>
    <row r="14" spans="1:39" ht="14.25" customHeight="1" thickBot="1" x14ac:dyDescent="0.35">
      <c r="A14" s="435"/>
      <c r="B14" s="435"/>
      <c r="C14" s="474"/>
      <c r="D14" s="474"/>
      <c r="E14" s="474"/>
      <c r="F14" s="474"/>
      <c r="G14" s="474"/>
      <c r="H14" s="474"/>
      <c r="I14" s="474"/>
      <c r="J14" s="474"/>
      <c r="K14" s="474"/>
      <c r="L14" s="474"/>
      <c r="M14" s="474"/>
      <c r="N14" s="474"/>
      <c r="O14" s="474"/>
      <c r="P14" s="474"/>
      <c r="Q14" s="474"/>
      <c r="R14" s="474"/>
      <c r="S14" s="474"/>
      <c r="T14" s="474"/>
      <c r="U14" s="435"/>
      <c r="V14" s="435"/>
      <c r="W14" s="435"/>
      <c r="X14" s="201" t="s">
        <v>10</v>
      </c>
      <c r="Y14" s="301">
        <v>0.1241181539518298</v>
      </c>
      <c r="Z14" s="301">
        <v>0.15514769243978724</v>
      </c>
      <c r="AA14" s="301">
        <v>0.18617723092774471</v>
      </c>
      <c r="AB14" s="301">
        <v>0.21720676941570213</v>
      </c>
      <c r="AC14" s="301">
        <v>0.24823630790365961</v>
      </c>
      <c r="AD14" s="244" t="s">
        <v>405</v>
      </c>
      <c r="AF14" s="222">
        <f t="shared" si="2"/>
        <v>0</v>
      </c>
      <c r="AG14" s="222" t="str">
        <f t="shared" si="5"/>
        <v/>
      </c>
      <c r="AH14" s="220" t="e">
        <f t="shared" si="0"/>
        <v>#N/A</v>
      </c>
      <c r="AI14" s="198" t="e">
        <f t="shared" si="1"/>
        <v>#N/A</v>
      </c>
      <c r="AJ14" s="198" t="e">
        <f t="shared" ref="AJ14:AJ19" si="6">VLOOKUP(D29,X15:AC95,6,0)*($Z$2-AG14)/40</f>
        <v>#N/A</v>
      </c>
      <c r="AK14" s="207" t="e">
        <f t="shared" si="3"/>
        <v>#VALUE!</v>
      </c>
      <c r="AL14" s="195" t="e">
        <f t="shared" si="4"/>
        <v>#VALUE!</v>
      </c>
    </row>
    <row r="15" spans="1:39" ht="20.25" customHeight="1" thickBot="1" x14ac:dyDescent="0.35">
      <c r="A15" s="435"/>
      <c r="B15" s="435"/>
      <c r="C15" s="475"/>
      <c r="D15" s="427" t="s">
        <v>479</v>
      </c>
      <c r="E15" s="426" t="str">
        <f>IF(AND(ISNUMBER($Z$2),$Z$2&gt;0),$Z$2,"")</f>
        <v/>
      </c>
      <c r="F15" s="476" t="s">
        <v>352</v>
      </c>
      <c r="G15" s="473"/>
      <c r="H15" s="626" t="s">
        <v>354</v>
      </c>
      <c r="I15" s="627"/>
      <c r="J15" s="627"/>
      <c r="K15" s="627"/>
      <c r="L15" s="635"/>
      <c r="M15" s="635"/>
      <c r="N15" s="476" t="str">
        <f>IF(L15="ERROR","","ha")</f>
        <v>ha</v>
      </c>
      <c r="O15" s="435"/>
      <c r="P15" s="473"/>
      <c r="Q15" s="473"/>
      <c r="R15" s="473"/>
      <c r="S15" s="473"/>
      <c r="T15" s="473"/>
      <c r="U15" s="435"/>
      <c r="V15" s="435"/>
      <c r="W15" s="435"/>
      <c r="X15" s="325" t="s">
        <v>508</v>
      </c>
      <c r="Y15" s="326">
        <v>0.69008475984374262</v>
      </c>
      <c r="Z15" s="326">
        <v>0.99550846887644073</v>
      </c>
      <c r="AA15" s="326">
        <v>1.3195063122807065</v>
      </c>
      <c r="AB15" s="326">
        <v>1.6554610230970124</v>
      </c>
      <c r="AC15" s="326">
        <v>1.9996598817826559</v>
      </c>
      <c r="AD15" s="522" t="s">
        <v>516</v>
      </c>
      <c r="AF15" s="222">
        <f t="shared" si="2"/>
        <v>0</v>
      </c>
      <c r="AG15" s="222" t="str">
        <f t="shared" si="5"/>
        <v/>
      </c>
      <c r="AH15" s="220" t="e">
        <f t="shared" si="0"/>
        <v>#N/A</v>
      </c>
      <c r="AI15" s="198" t="e">
        <f t="shared" si="1"/>
        <v>#N/A</v>
      </c>
      <c r="AJ15" s="198" t="e">
        <f t="shared" si="6"/>
        <v>#N/A</v>
      </c>
      <c r="AK15" s="207" t="e">
        <f t="shared" si="3"/>
        <v>#VALUE!</v>
      </c>
      <c r="AL15" s="195" t="e">
        <f t="shared" si="4"/>
        <v>#VALUE!</v>
      </c>
    </row>
    <row r="16" spans="1:39" ht="20.25" hidden="1" customHeight="1" x14ac:dyDescent="0.3">
      <c r="C16" s="213"/>
      <c r="G16" s="297" t="str">
        <f>IF(L15="ERROR","Revise las superficies de plantación consideradas en las opciones A y B.","")</f>
        <v/>
      </c>
      <c r="H16" s="213"/>
      <c r="P16" s="213"/>
      <c r="Q16" s="213"/>
      <c r="R16" s="213"/>
      <c r="S16" s="213"/>
      <c r="T16" s="213"/>
      <c r="X16" s="201" t="s">
        <v>157</v>
      </c>
      <c r="Y16" s="301">
        <v>6.1960458449175387E-2</v>
      </c>
      <c r="Z16" s="301">
        <v>7.7450573061469213E-2</v>
      </c>
      <c r="AA16" s="301">
        <v>9.2940687673763067E-2</v>
      </c>
      <c r="AB16" s="301">
        <v>0.10843080228605692</v>
      </c>
      <c r="AC16" s="301">
        <v>0.12392091689835077</v>
      </c>
      <c r="AD16" s="244" t="s">
        <v>405</v>
      </c>
      <c r="AF16" s="222">
        <f t="shared" si="2"/>
        <v>0</v>
      </c>
      <c r="AG16" s="222" t="str">
        <f t="shared" si="5"/>
        <v/>
      </c>
      <c r="AH16" s="220" t="e">
        <f t="shared" si="0"/>
        <v>#N/A</v>
      </c>
      <c r="AI16" s="198" t="e">
        <f t="shared" si="1"/>
        <v>#N/A</v>
      </c>
      <c r="AJ16" s="198" t="e">
        <f t="shared" si="6"/>
        <v>#N/A</v>
      </c>
      <c r="AK16" s="207" t="e">
        <f t="shared" si="3"/>
        <v>#VALUE!</v>
      </c>
      <c r="AL16" s="195" t="e">
        <f t="shared" si="4"/>
        <v>#VALUE!</v>
      </c>
    </row>
    <row r="17" spans="1:42" ht="9.75" customHeight="1" x14ac:dyDescent="0.3">
      <c r="A17" s="435"/>
      <c r="B17" s="435"/>
      <c r="C17" s="473"/>
      <c r="D17" s="473"/>
      <c r="E17" s="473"/>
      <c r="F17" s="473"/>
      <c r="G17" s="473"/>
      <c r="H17" s="473"/>
      <c r="I17" s="435"/>
      <c r="J17" s="435"/>
      <c r="K17" s="435"/>
      <c r="L17" s="435"/>
      <c r="M17" s="435"/>
      <c r="N17" s="435"/>
      <c r="O17" s="435"/>
      <c r="P17" s="473"/>
      <c r="Q17" s="473"/>
      <c r="R17" s="473"/>
      <c r="S17" s="473"/>
      <c r="T17" s="473"/>
      <c r="U17" s="435"/>
      <c r="V17" s="435"/>
      <c r="W17" s="435"/>
      <c r="X17" s="201" t="s">
        <v>11</v>
      </c>
      <c r="Y17" s="301">
        <v>0.34624258854033912</v>
      </c>
      <c r="Z17" s="301">
        <v>0.63416449134559993</v>
      </c>
      <c r="AA17" s="301">
        <v>1.2964681323565146</v>
      </c>
      <c r="AB17" s="301">
        <v>2.8776869027198626</v>
      </c>
      <c r="AC17" s="301">
        <v>3.4048640619376549</v>
      </c>
      <c r="AD17" s="244" t="s">
        <v>333</v>
      </c>
      <c r="AF17" s="222">
        <f t="shared" si="2"/>
        <v>0</v>
      </c>
      <c r="AG17" s="222" t="str">
        <f t="shared" si="5"/>
        <v/>
      </c>
      <c r="AH17" s="220" t="e">
        <f t="shared" si="0"/>
        <v>#N/A</v>
      </c>
      <c r="AI17" s="198" t="e">
        <f t="shared" si="1"/>
        <v>#N/A</v>
      </c>
      <c r="AJ17" s="198" t="e">
        <f t="shared" si="6"/>
        <v>#N/A</v>
      </c>
      <c r="AK17" s="207" t="e">
        <f>IF(OR($Z$2-AG17=30,$Z$2-AG17&lt;35),AH17,IF(OR($Z$2-AG17=35,AND($Z$2-AG17&lt;40,$Z$2-AG17&gt;35)),AI17,AJ17))</f>
        <v>#VALUE!</v>
      </c>
      <c r="AL17" s="195" t="e">
        <f t="shared" si="4"/>
        <v>#VALUE!</v>
      </c>
    </row>
    <row r="18" spans="1:42" ht="27.75" customHeight="1" x14ac:dyDescent="0.3">
      <c r="A18" s="435"/>
      <c r="B18" s="435"/>
      <c r="C18" s="473"/>
      <c r="D18" s="610" t="s">
        <v>93</v>
      </c>
      <c r="E18" s="633" t="s">
        <v>441</v>
      </c>
      <c r="F18" s="610" t="s">
        <v>442</v>
      </c>
      <c r="G18" s="612" t="s">
        <v>341</v>
      </c>
      <c r="H18" s="613"/>
      <c r="I18" s="435"/>
      <c r="J18" s="671" t="s">
        <v>487</v>
      </c>
      <c r="K18" s="671"/>
      <c r="L18" s="671"/>
      <c r="M18" s="671"/>
      <c r="N18" s="671"/>
      <c r="O18" s="671"/>
      <c r="P18" s="671"/>
      <c r="Q18" s="671"/>
      <c r="R18" s="671"/>
      <c r="S18" s="671"/>
      <c r="T18" s="671"/>
      <c r="U18" s="435"/>
      <c r="V18" s="435"/>
      <c r="W18" s="435"/>
      <c r="X18" s="201" t="s">
        <v>12</v>
      </c>
      <c r="Y18" s="301">
        <v>0.28554224648832599</v>
      </c>
      <c r="Z18" s="301">
        <v>0.72002933854517226</v>
      </c>
      <c r="AA18" s="301">
        <v>1.0064449533150317</v>
      </c>
      <c r="AB18" s="301">
        <v>1.44499968749023</v>
      </c>
      <c r="AC18" s="301">
        <v>1.8956012546262551</v>
      </c>
      <c r="AD18" s="244" t="s">
        <v>333</v>
      </c>
      <c r="AF18" s="222">
        <f t="shared" si="2"/>
        <v>0</v>
      </c>
      <c r="AG18" s="222" t="str">
        <f t="shared" si="5"/>
        <v/>
      </c>
      <c r="AH18" s="220" t="e">
        <f t="shared" si="0"/>
        <v>#N/A</v>
      </c>
      <c r="AI18" s="198" t="e">
        <f t="shared" si="1"/>
        <v>#N/A</v>
      </c>
      <c r="AJ18" s="198" t="e">
        <f t="shared" si="6"/>
        <v>#N/A</v>
      </c>
      <c r="AK18" s="207" t="e">
        <f t="shared" si="3"/>
        <v>#VALUE!</v>
      </c>
      <c r="AL18" s="195" t="e">
        <f t="shared" si="4"/>
        <v>#VALUE!</v>
      </c>
    </row>
    <row r="19" spans="1:42" ht="32.25" customHeight="1" x14ac:dyDescent="0.3">
      <c r="A19" s="435"/>
      <c r="B19" s="435"/>
      <c r="C19" s="473"/>
      <c r="D19" s="611"/>
      <c r="E19" s="634"/>
      <c r="F19" s="611"/>
      <c r="G19" s="428" t="s">
        <v>454</v>
      </c>
      <c r="H19" s="428" t="s">
        <v>453</v>
      </c>
      <c r="I19" s="435"/>
      <c r="J19" s="671"/>
      <c r="K19" s="671"/>
      <c r="L19" s="671"/>
      <c r="M19" s="671"/>
      <c r="N19" s="671"/>
      <c r="O19" s="671"/>
      <c r="P19" s="671"/>
      <c r="Q19" s="671"/>
      <c r="R19" s="671"/>
      <c r="S19" s="671"/>
      <c r="T19" s="671"/>
      <c r="U19" s="435"/>
      <c r="V19" s="435"/>
      <c r="W19" s="435"/>
      <c r="X19" s="201" t="s">
        <v>13</v>
      </c>
      <c r="Y19" s="301">
        <v>7.2902029632532592E-3</v>
      </c>
      <c r="Z19" s="301">
        <v>9.1127537040665719E-3</v>
      </c>
      <c r="AA19" s="301">
        <v>1.0935304444879886E-2</v>
      </c>
      <c r="AB19" s="301">
        <v>1.2757855185693201E-2</v>
      </c>
      <c r="AC19" s="301">
        <v>1.4580405926506518E-2</v>
      </c>
      <c r="AD19" s="244" t="s">
        <v>405</v>
      </c>
      <c r="AF19" s="222">
        <f>E34</f>
        <v>0</v>
      </c>
      <c r="AG19" s="222" t="str">
        <f t="shared" si="5"/>
        <v/>
      </c>
      <c r="AH19" s="220" t="e">
        <f t="shared" si="0"/>
        <v>#N/A</v>
      </c>
      <c r="AI19" s="198" t="e">
        <f t="shared" si="1"/>
        <v>#N/A</v>
      </c>
      <c r="AJ19" s="198" t="e">
        <f t="shared" si="6"/>
        <v>#N/A</v>
      </c>
      <c r="AK19" s="207" t="e">
        <f t="shared" si="3"/>
        <v>#VALUE!</v>
      </c>
      <c r="AL19" s="195" t="e">
        <f t="shared" si="4"/>
        <v>#VALUE!</v>
      </c>
    </row>
    <row r="20" spans="1:42" ht="19.5" customHeight="1" x14ac:dyDescent="0.3">
      <c r="A20" s="435"/>
      <c r="B20" s="435"/>
      <c r="C20" s="473"/>
      <c r="D20" s="288"/>
      <c r="E20" s="290"/>
      <c r="F20" s="291"/>
      <c r="G20" s="299" t="str">
        <f>IF(ISNUMBER(AK5),AK5,"")</f>
        <v/>
      </c>
      <c r="H20" s="319" t="str">
        <f t="shared" ref="H20:H25" si="7">IF(ISNUMBER(AL5),AL5,"")</f>
        <v/>
      </c>
      <c r="I20" s="435"/>
      <c r="J20" s="435"/>
      <c r="K20" s="435"/>
      <c r="L20" s="435"/>
      <c r="M20" s="435"/>
      <c r="N20" s="435"/>
      <c r="O20" s="435"/>
      <c r="P20" s="662" t="s">
        <v>370</v>
      </c>
      <c r="Q20" s="662"/>
      <c r="R20" s="663"/>
      <c r="S20" s="223">
        <f>IF(ISNUMBER(SUM(H20:H34)),SUM(H20:H34),"")</f>
        <v>0</v>
      </c>
      <c r="T20" s="211" t="s">
        <v>335</v>
      </c>
      <c r="U20" s="435"/>
      <c r="V20" s="435"/>
      <c r="W20" s="435"/>
      <c r="X20" s="201" t="s">
        <v>14</v>
      </c>
      <c r="Y20" s="301">
        <v>4.2905184381875593E-2</v>
      </c>
      <c r="Z20" s="301">
        <v>0.11203292161465764</v>
      </c>
      <c r="AA20" s="301">
        <v>0.20516585167863827</v>
      </c>
      <c r="AB20" s="301">
        <v>0.34790001540782683</v>
      </c>
      <c r="AC20" s="301">
        <v>0.39760001760894487</v>
      </c>
      <c r="AD20" s="244" t="s">
        <v>333</v>
      </c>
    </row>
    <row r="21" spans="1:42" ht="19.5" customHeight="1" x14ac:dyDescent="0.3">
      <c r="A21" s="435"/>
      <c r="B21" s="435"/>
      <c r="C21" s="473"/>
      <c r="D21" s="288"/>
      <c r="E21" s="290"/>
      <c r="F21" s="291"/>
      <c r="G21" s="299" t="str">
        <f t="shared" ref="G21:G25" si="8">IF(ISNUMBER(AK6),AK6,"")</f>
        <v/>
      </c>
      <c r="H21" s="319" t="str">
        <f t="shared" si="7"/>
        <v/>
      </c>
      <c r="I21" s="435"/>
      <c r="J21" s="435"/>
      <c r="K21" s="435"/>
      <c r="L21" s="435"/>
      <c r="M21" s="435"/>
      <c r="N21" s="435"/>
      <c r="O21" s="435"/>
      <c r="P21" s="662"/>
      <c r="Q21" s="662"/>
      <c r="R21" s="663"/>
      <c r="S21" s="223" t="str">
        <f>IF(AND(ISNUMBER(S20/AI1),AI1&gt;0,AI1&lt;=Z3),S20/AI1,IF(S20=0,"","ERROR"))</f>
        <v/>
      </c>
      <c r="T21" s="211" t="s">
        <v>336</v>
      </c>
      <c r="U21" s="435"/>
      <c r="V21" s="489" t="s">
        <v>340</v>
      </c>
      <c r="W21" s="435"/>
      <c r="X21" s="201" t="s">
        <v>15</v>
      </c>
      <c r="Y21" s="301">
        <v>7.8352200436330038E-2</v>
      </c>
      <c r="Z21" s="301">
        <v>9.7940250545412541E-2</v>
      </c>
      <c r="AA21" s="301">
        <v>0.11752830065449504</v>
      </c>
      <c r="AB21" s="301">
        <v>0.13711635076357756</v>
      </c>
      <c r="AC21" s="301">
        <v>0.15670440087266008</v>
      </c>
      <c r="AD21" s="244" t="s">
        <v>405</v>
      </c>
    </row>
    <row r="22" spans="1:42" ht="16.5" customHeight="1" x14ac:dyDescent="0.3">
      <c r="A22" s="435"/>
      <c r="B22" s="435"/>
      <c r="C22" s="435"/>
      <c r="D22" s="288"/>
      <c r="E22" s="290"/>
      <c r="F22" s="291"/>
      <c r="G22" s="299" t="str">
        <f t="shared" si="8"/>
        <v/>
      </c>
      <c r="H22" s="319" t="str">
        <f t="shared" si="7"/>
        <v/>
      </c>
      <c r="I22" s="435"/>
      <c r="J22" s="435"/>
      <c r="K22" s="435"/>
      <c r="L22" s="435"/>
      <c r="M22" s="435"/>
      <c r="N22" s="435"/>
      <c r="O22" s="435"/>
      <c r="P22" s="487"/>
      <c r="Q22" s="487"/>
      <c r="R22" s="475"/>
      <c r="S22" s="488" t="str">
        <f>IF(S21="ERROR","Revise las superficies de plantación consideradas en las opciones A y B.","")</f>
        <v/>
      </c>
      <c r="T22" s="435"/>
      <c r="U22" s="435"/>
      <c r="V22" s="435"/>
      <c r="W22" s="435"/>
      <c r="X22" s="201" t="s">
        <v>17</v>
      </c>
      <c r="Y22" s="301">
        <v>4.2905184381875593E-2</v>
      </c>
      <c r="Z22" s="301">
        <v>0.11203292161465764</v>
      </c>
      <c r="AA22" s="301">
        <v>0.20516585167863827</v>
      </c>
      <c r="AB22" s="301">
        <v>0.34790001540782683</v>
      </c>
      <c r="AC22" s="301">
        <v>0.39760001760894487</v>
      </c>
      <c r="AD22" s="244" t="s">
        <v>405</v>
      </c>
    </row>
    <row r="23" spans="1:42" ht="16.5" customHeight="1" thickBot="1" x14ac:dyDescent="0.35">
      <c r="A23" s="435"/>
      <c r="B23" s="435"/>
      <c r="C23" s="435"/>
      <c r="D23" s="288"/>
      <c r="E23" s="290"/>
      <c r="F23" s="291"/>
      <c r="G23" s="299" t="str">
        <f t="shared" si="8"/>
        <v/>
      </c>
      <c r="H23" s="319" t="str">
        <f t="shared" si="7"/>
        <v/>
      </c>
      <c r="I23" s="435"/>
      <c r="J23" s="435"/>
      <c r="K23" s="435"/>
      <c r="L23" s="435"/>
      <c r="M23" s="435"/>
      <c r="N23" s="435"/>
      <c r="O23" s="435"/>
      <c r="P23" s="435"/>
      <c r="Q23" s="435"/>
      <c r="R23" s="435"/>
      <c r="S23" s="435"/>
      <c r="T23" s="435"/>
      <c r="U23" s="435"/>
      <c r="V23" s="435"/>
      <c r="W23" s="435"/>
      <c r="X23" s="201" t="s">
        <v>18</v>
      </c>
      <c r="Y23" s="301">
        <v>3.1829804580021943E-2</v>
      </c>
      <c r="Z23" s="301">
        <v>4.8315700463393098E-2</v>
      </c>
      <c r="AA23" s="301">
        <v>5.797884055607172E-2</v>
      </c>
      <c r="AB23" s="301">
        <v>0.11616913219309503</v>
      </c>
      <c r="AC23" s="301">
        <v>0.14741916710201577</v>
      </c>
      <c r="AD23" s="244" t="s">
        <v>333</v>
      </c>
    </row>
    <row r="24" spans="1:42" ht="16.5" customHeight="1" x14ac:dyDescent="0.3">
      <c r="A24" s="435"/>
      <c r="B24" s="435"/>
      <c r="C24" s="435"/>
      <c r="D24" s="288"/>
      <c r="E24" s="290"/>
      <c r="F24" s="291"/>
      <c r="G24" s="299" t="str">
        <f t="shared" si="8"/>
        <v/>
      </c>
      <c r="H24" s="319" t="str">
        <f t="shared" si="7"/>
        <v/>
      </c>
      <c r="I24" s="435"/>
      <c r="J24" s="435"/>
      <c r="K24" s="435"/>
      <c r="L24" s="435"/>
      <c r="M24" s="435"/>
      <c r="N24" s="479">
        <v>1</v>
      </c>
      <c r="O24" s="669" t="s">
        <v>387</v>
      </c>
      <c r="P24" s="669"/>
      <c r="Q24" s="669"/>
      <c r="R24" s="669"/>
      <c r="S24" s="669"/>
      <c r="T24" s="670"/>
      <c r="U24" s="435"/>
      <c r="V24" s="435"/>
      <c r="W24" s="435"/>
      <c r="X24" s="201" t="s">
        <v>19</v>
      </c>
      <c r="Y24" s="301">
        <v>3.1829804580021943E-2</v>
      </c>
      <c r="Z24" s="301">
        <v>4.8315700463393098E-2</v>
      </c>
      <c r="AA24" s="301">
        <v>5.797884055607172E-2</v>
      </c>
      <c r="AB24" s="301">
        <v>0.11616913219309503</v>
      </c>
      <c r="AC24" s="301">
        <v>0.14741916710201577</v>
      </c>
      <c r="AD24" s="244" t="s">
        <v>333</v>
      </c>
    </row>
    <row r="25" spans="1:42" ht="16.5" customHeight="1" x14ac:dyDescent="0.3">
      <c r="A25" s="435"/>
      <c r="B25" s="435"/>
      <c r="C25" s="435"/>
      <c r="D25" s="289"/>
      <c r="E25" s="290"/>
      <c r="F25" s="292"/>
      <c r="G25" s="299" t="str">
        <f t="shared" si="8"/>
        <v/>
      </c>
      <c r="H25" s="319" t="str">
        <f t="shared" si="7"/>
        <v/>
      </c>
      <c r="I25" s="435"/>
      <c r="J25" s="435"/>
      <c r="K25" s="435"/>
      <c r="L25" s="435"/>
      <c r="M25" s="435"/>
      <c r="N25" s="480">
        <v>2</v>
      </c>
      <c r="O25" s="653" t="s">
        <v>350</v>
      </c>
      <c r="P25" s="653"/>
      <c r="Q25" s="653"/>
      <c r="R25" s="653"/>
      <c r="S25" s="653"/>
      <c r="T25" s="654"/>
      <c r="U25" s="435"/>
      <c r="V25" s="435"/>
      <c r="W25" s="435"/>
      <c r="X25" s="201" t="s">
        <v>20</v>
      </c>
      <c r="Y25" s="301">
        <v>3.1829804580021943E-2</v>
      </c>
      <c r="Z25" s="301">
        <v>4.8315700463393098E-2</v>
      </c>
      <c r="AA25" s="301">
        <v>5.797884055607172E-2</v>
      </c>
      <c r="AB25" s="301">
        <v>0.11616913219309503</v>
      </c>
      <c r="AC25" s="301">
        <v>0.14741916710201577</v>
      </c>
      <c r="AD25" s="244" t="s">
        <v>333</v>
      </c>
    </row>
    <row r="26" spans="1:42" ht="16.5" customHeight="1" x14ac:dyDescent="0.3">
      <c r="A26" s="435"/>
      <c r="B26" s="435"/>
      <c r="C26" s="435"/>
      <c r="D26" s="289"/>
      <c r="E26" s="290"/>
      <c r="F26" s="292"/>
      <c r="G26" s="299" t="str">
        <f t="shared" ref="G26:G34" si="9">IF(ISNUMBER(AK11),AK11,"")</f>
        <v/>
      </c>
      <c r="H26" s="319" t="str">
        <f t="shared" ref="H26:H34" si="10">IF(ISNUMBER(AL11),AL11,"")</f>
        <v/>
      </c>
      <c r="I26" s="435"/>
      <c r="J26" s="435"/>
      <c r="K26" s="435"/>
      <c r="L26" s="435"/>
      <c r="M26" s="435"/>
      <c r="N26" s="481"/>
      <c r="O26" s="653"/>
      <c r="P26" s="653"/>
      <c r="Q26" s="653"/>
      <c r="R26" s="653"/>
      <c r="S26" s="653"/>
      <c r="T26" s="654"/>
      <c r="U26" s="435"/>
      <c r="V26" s="435"/>
      <c r="W26" s="435"/>
      <c r="X26" s="201" t="s">
        <v>491</v>
      </c>
      <c r="Y26" s="301">
        <v>4.2905184381875593E-2</v>
      </c>
      <c r="Z26" s="301">
        <v>0.11203292161465764</v>
      </c>
      <c r="AA26" s="301">
        <v>0.20516585167863827</v>
      </c>
      <c r="AB26" s="301">
        <v>0.34790001540782683</v>
      </c>
      <c r="AC26" s="301">
        <v>0.39760001760894487</v>
      </c>
      <c r="AD26" s="244" t="s">
        <v>405</v>
      </c>
    </row>
    <row r="27" spans="1:42" ht="16.5" customHeight="1" x14ac:dyDescent="0.3">
      <c r="A27" s="435"/>
      <c r="B27" s="435"/>
      <c r="C27" s="435"/>
      <c r="D27" s="289"/>
      <c r="E27" s="290"/>
      <c r="F27" s="292"/>
      <c r="G27" s="299" t="str">
        <f t="shared" si="9"/>
        <v/>
      </c>
      <c r="H27" s="319" t="str">
        <f t="shared" si="10"/>
        <v/>
      </c>
      <c r="I27" s="435"/>
      <c r="J27" s="435"/>
      <c r="K27" s="435"/>
      <c r="L27" s="435"/>
      <c r="M27" s="435"/>
      <c r="N27" s="482"/>
      <c r="O27" s="653"/>
      <c r="P27" s="653"/>
      <c r="Q27" s="653"/>
      <c r="R27" s="653"/>
      <c r="S27" s="653"/>
      <c r="T27" s="654"/>
      <c r="U27" s="435"/>
      <c r="V27" s="435"/>
      <c r="W27" s="435"/>
      <c r="X27" s="201" t="s">
        <v>22</v>
      </c>
      <c r="Y27" s="301">
        <v>0.40481930196049593</v>
      </c>
      <c r="Z27" s="301">
        <v>0.99657840558360089</v>
      </c>
      <c r="AA27" s="301">
        <v>1.5658280222622489</v>
      </c>
      <c r="AB27" s="301">
        <v>2.2347041313747185</v>
      </c>
      <c r="AC27" s="301">
        <v>3.5316719948964348</v>
      </c>
      <c r="AD27" s="244" t="s">
        <v>405</v>
      </c>
    </row>
    <row r="28" spans="1:42" ht="16.5" customHeight="1" thickBot="1" x14ac:dyDescent="0.35">
      <c r="A28" s="435"/>
      <c r="B28" s="435"/>
      <c r="C28" s="435"/>
      <c r="D28" s="289"/>
      <c r="E28" s="290"/>
      <c r="F28" s="292"/>
      <c r="G28" s="299" t="str">
        <f t="shared" si="9"/>
        <v/>
      </c>
      <c r="H28" s="319" t="str">
        <f t="shared" si="10"/>
        <v/>
      </c>
      <c r="I28" s="435"/>
      <c r="J28" s="435"/>
      <c r="K28" s="435"/>
      <c r="L28" s="435"/>
      <c r="M28" s="435"/>
      <c r="N28" s="483"/>
      <c r="O28" s="667"/>
      <c r="P28" s="667"/>
      <c r="Q28" s="667"/>
      <c r="R28" s="667"/>
      <c r="S28" s="667"/>
      <c r="T28" s="668"/>
      <c r="U28" s="485"/>
      <c r="V28" s="485"/>
      <c r="W28" s="485"/>
      <c r="X28" s="201" t="s">
        <v>511</v>
      </c>
      <c r="Y28" s="301">
        <v>0.56958214626885495</v>
      </c>
      <c r="Z28" s="301">
        <v>1.3908497572587581</v>
      </c>
      <c r="AA28" s="301">
        <v>2.0361298403169146</v>
      </c>
      <c r="AB28" s="301">
        <v>2.9973328241580197</v>
      </c>
      <c r="AC28" s="301">
        <v>4.8736009360390691</v>
      </c>
      <c r="AD28" s="244" t="s">
        <v>405</v>
      </c>
      <c r="AE28" s="215"/>
      <c r="AF28" s="215"/>
      <c r="AG28" s="215"/>
      <c r="AH28" s="215"/>
      <c r="AI28" s="215"/>
      <c r="AJ28" s="215"/>
      <c r="AK28" s="215"/>
      <c r="AL28" s="215"/>
      <c r="AM28" s="215"/>
      <c r="AN28" s="215"/>
      <c r="AO28" s="215"/>
      <c r="AP28" s="215"/>
    </row>
    <row r="29" spans="1:42" ht="16.5" customHeight="1" x14ac:dyDescent="0.3">
      <c r="A29" s="435"/>
      <c r="B29" s="435"/>
      <c r="C29" s="435"/>
      <c r="D29" s="289"/>
      <c r="E29" s="290"/>
      <c r="F29" s="292"/>
      <c r="G29" s="299" t="str">
        <f t="shared" si="9"/>
        <v/>
      </c>
      <c r="H29" s="319" t="str">
        <f t="shared" si="10"/>
        <v/>
      </c>
      <c r="I29" s="435"/>
      <c r="J29" s="484"/>
      <c r="K29" s="485"/>
      <c r="L29" s="485"/>
      <c r="M29" s="485"/>
      <c r="N29" s="485"/>
      <c r="O29" s="485"/>
      <c r="P29" s="485"/>
      <c r="Q29" s="485"/>
      <c r="R29" s="485"/>
      <c r="S29" s="485"/>
      <c r="T29" s="485"/>
      <c r="U29" s="485"/>
      <c r="V29" s="485"/>
      <c r="W29" s="485"/>
      <c r="X29" s="325" t="s">
        <v>509</v>
      </c>
      <c r="Y29" s="326">
        <v>2.1596889599999995</v>
      </c>
      <c r="Z29" s="326">
        <v>2.7512834456249995</v>
      </c>
      <c r="AA29" s="326">
        <v>3.3428779312499994</v>
      </c>
      <c r="AB29" s="326">
        <v>3.9344724168749994</v>
      </c>
      <c r="AC29" s="326">
        <v>4.5260669025000011</v>
      </c>
      <c r="AD29" s="519" t="s">
        <v>505</v>
      </c>
      <c r="AE29" s="215"/>
      <c r="AF29" s="215"/>
      <c r="AG29" s="215"/>
      <c r="AH29" s="215"/>
      <c r="AI29" s="215"/>
      <c r="AJ29" s="215"/>
      <c r="AK29" s="215"/>
      <c r="AL29" s="215"/>
      <c r="AM29" s="215"/>
      <c r="AN29" s="215"/>
      <c r="AO29" s="215"/>
      <c r="AP29" s="215"/>
    </row>
    <row r="30" spans="1:42" ht="16.5" customHeight="1" x14ac:dyDescent="0.3">
      <c r="A30" s="435"/>
      <c r="B30" s="435"/>
      <c r="C30" s="435"/>
      <c r="D30" s="289"/>
      <c r="E30" s="290"/>
      <c r="F30" s="292"/>
      <c r="G30" s="299" t="str">
        <f t="shared" si="9"/>
        <v/>
      </c>
      <c r="H30" s="319" t="str">
        <f t="shared" si="10"/>
        <v/>
      </c>
      <c r="I30" s="435"/>
      <c r="J30" s="484"/>
      <c r="K30" s="485"/>
      <c r="L30" s="485"/>
      <c r="M30" s="485"/>
      <c r="N30" s="485"/>
      <c r="O30" s="485"/>
      <c r="P30" s="485"/>
      <c r="Q30" s="485"/>
      <c r="R30" s="485"/>
      <c r="S30" s="485"/>
      <c r="T30" s="485"/>
      <c r="U30" s="485"/>
      <c r="V30" s="485"/>
      <c r="W30" s="485"/>
      <c r="X30" s="201" t="s">
        <v>24</v>
      </c>
      <c r="Y30" s="301">
        <v>3.769774343225004E-3</v>
      </c>
      <c r="Z30" s="301">
        <v>2.2674170139378728E-2</v>
      </c>
      <c r="AA30" s="301">
        <v>2.720900416725448E-2</v>
      </c>
      <c r="AB30" s="301">
        <v>6.9703150798753E-2</v>
      </c>
      <c r="AC30" s="301">
        <v>0.22629552729785765</v>
      </c>
      <c r="AD30" s="244" t="s">
        <v>406</v>
      </c>
      <c r="AE30" s="215"/>
      <c r="AF30" s="215"/>
      <c r="AG30" s="215"/>
      <c r="AH30" s="215"/>
      <c r="AI30" s="215"/>
      <c r="AJ30" s="215"/>
      <c r="AK30" s="215"/>
      <c r="AL30" s="215"/>
      <c r="AM30" s="215"/>
      <c r="AN30" s="215"/>
      <c r="AO30" s="215"/>
      <c r="AP30" s="215"/>
    </row>
    <row r="31" spans="1:42" ht="16.5" customHeight="1" x14ac:dyDescent="0.3">
      <c r="A31" s="435"/>
      <c r="B31" s="435"/>
      <c r="C31" s="435"/>
      <c r="D31" s="289"/>
      <c r="E31" s="290"/>
      <c r="F31" s="292"/>
      <c r="G31" s="299" t="str">
        <f t="shared" si="9"/>
        <v/>
      </c>
      <c r="H31" s="319" t="str">
        <f t="shared" si="10"/>
        <v/>
      </c>
      <c r="I31" s="435"/>
      <c r="J31" s="486"/>
      <c r="K31" s="485"/>
      <c r="L31" s="485"/>
      <c r="M31" s="485"/>
      <c r="N31" s="485"/>
      <c r="O31" s="485"/>
      <c r="P31" s="485"/>
      <c r="Q31" s="485"/>
      <c r="R31" s="485"/>
      <c r="S31" s="485"/>
      <c r="T31" s="485"/>
      <c r="U31" s="435"/>
      <c r="V31" s="435"/>
      <c r="W31" s="435"/>
      <c r="X31" s="201" t="s">
        <v>1</v>
      </c>
      <c r="Y31" s="301">
        <v>9.0997276417428483E-2</v>
      </c>
      <c r="Z31" s="301">
        <v>0.11374659552178558</v>
      </c>
      <c r="AA31" s="301">
        <v>0.18470565168801564</v>
      </c>
      <c r="AB31" s="301">
        <v>0.28736688910270414</v>
      </c>
      <c r="AC31" s="301">
        <v>0.32841930183166185</v>
      </c>
      <c r="AD31" s="244" t="s">
        <v>405</v>
      </c>
    </row>
    <row r="32" spans="1:42" ht="16.5" customHeight="1" x14ac:dyDescent="0.3">
      <c r="A32" s="435"/>
      <c r="B32" s="435"/>
      <c r="C32" s="435"/>
      <c r="D32" s="289"/>
      <c r="E32" s="290"/>
      <c r="F32" s="292"/>
      <c r="G32" s="299" t="str">
        <f t="shared" si="9"/>
        <v/>
      </c>
      <c r="H32" s="319" t="str">
        <f t="shared" si="10"/>
        <v/>
      </c>
      <c r="I32" s="435"/>
      <c r="J32" s="486"/>
      <c r="K32" s="485"/>
      <c r="L32" s="485"/>
      <c r="M32" s="485"/>
      <c r="N32" s="485"/>
      <c r="O32" s="485"/>
      <c r="P32" s="485"/>
      <c r="Q32" s="485"/>
      <c r="R32" s="485"/>
      <c r="S32" s="485"/>
      <c r="T32" s="485"/>
      <c r="U32" s="435"/>
      <c r="V32" s="435"/>
      <c r="W32" s="435"/>
      <c r="X32" s="201" t="s">
        <v>25</v>
      </c>
      <c r="Y32" s="301">
        <v>3.1871348877880464E-2</v>
      </c>
      <c r="Z32" s="301">
        <v>3.9839186097350585E-2</v>
      </c>
      <c r="AA32" s="301">
        <v>4.7807023316820692E-2</v>
      </c>
      <c r="AB32" s="301">
        <v>8.388718973868918E-2</v>
      </c>
      <c r="AC32" s="301">
        <v>9.5871073987073341E-2</v>
      </c>
      <c r="AD32" s="244" t="s">
        <v>405</v>
      </c>
    </row>
    <row r="33" spans="1:44" ht="16.5" customHeight="1" x14ac:dyDescent="0.3">
      <c r="A33" s="435"/>
      <c r="B33" s="435"/>
      <c r="C33" s="435"/>
      <c r="D33" s="289"/>
      <c r="E33" s="290"/>
      <c r="F33" s="292"/>
      <c r="G33" s="299" t="str">
        <f t="shared" si="9"/>
        <v/>
      </c>
      <c r="H33" s="319" t="str">
        <f t="shared" si="10"/>
        <v/>
      </c>
      <c r="I33" s="435"/>
      <c r="J33" s="435"/>
      <c r="K33" s="485"/>
      <c r="L33" s="485"/>
      <c r="M33" s="485"/>
      <c r="N33" s="485"/>
      <c r="O33" s="485"/>
      <c r="P33" s="485"/>
      <c r="Q33" s="485"/>
      <c r="R33" s="485"/>
      <c r="S33" s="485"/>
      <c r="T33" s="485"/>
      <c r="U33" s="435"/>
      <c r="V33" s="435"/>
      <c r="W33" s="435"/>
      <c r="X33" s="201" t="s">
        <v>26</v>
      </c>
      <c r="Y33" s="301">
        <v>3.5895556554346862E-2</v>
      </c>
      <c r="Z33" s="301">
        <v>4.4869445692933579E-2</v>
      </c>
      <c r="AA33" s="301">
        <v>5.3843334831520297E-2</v>
      </c>
      <c r="AB33" s="301">
        <v>0.12009784588996364</v>
      </c>
      <c r="AC33" s="301">
        <v>0.13725468101710131</v>
      </c>
      <c r="AD33" s="244" t="s">
        <v>405</v>
      </c>
    </row>
    <row r="34" spans="1:44" ht="16.5" customHeight="1" x14ac:dyDescent="0.3">
      <c r="A34" s="435"/>
      <c r="B34" s="435"/>
      <c r="C34" s="435"/>
      <c r="D34" s="289"/>
      <c r="E34" s="290"/>
      <c r="F34" s="292"/>
      <c r="G34" s="299" t="str">
        <f t="shared" si="9"/>
        <v/>
      </c>
      <c r="H34" s="319" t="str">
        <f t="shared" si="10"/>
        <v/>
      </c>
      <c r="I34" s="435"/>
      <c r="J34" s="435"/>
      <c r="K34" s="435"/>
      <c r="L34" s="435"/>
      <c r="M34" s="435"/>
      <c r="N34" s="435"/>
      <c r="O34" s="435"/>
      <c r="P34" s="435"/>
      <c r="Q34" s="435"/>
      <c r="R34" s="435"/>
      <c r="S34" s="435"/>
      <c r="T34" s="435"/>
      <c r="U34" s="435"/>
      <c r="V34" s="435"/>
      <c r="W34" s="435"/>
      <c r="X34" s="201" t="s">
        <v>293</v>
      </c>
      <c r="Y34" s="301">
        <v>0.1241181539518298</v>
      </c>
      <c r="Z34" s="301">
        <v>0.15514769243978724</v>
      </c>
      <c r="AA34" s="301">
        <v>0.18617723092774471</v>
      </c>
      <c r="AB34" s="301">
        <v>0.21720676941570213</v>
      </c>
      <c r="AC34" s="301">
        <v>0.24823630790365961</v>
      </c>
      <c r="AD34" s="244" t="s">
        <v>333</v>
      </c>
      <c r="AG34" s="200" t="s">
        <v>93</v>
      </c>
      <c r="AH34" s="200" t="s">
        <v>518</v>
      </c>
      <c r="AI34" s="200" t="s">
        <v>519</v>
      </c>
      <c r="AJ34" s="200" t="s">
        <v>520</v>
      </c>
      <c r="AK34" s="200" t="s">
        <v>521</v>
      </c>
      <c r="AL34" s="200" t="s">
        <v>383</v>
      </c>
    </row>
    <row r="35" spans="1:44" ht="11.25" customHeight="1" x14ac:dyDescent="0.3">
      <c r="A35" s="435"/>
      <c r="B35" s="435"/>
      <c r="C35" s="435"/>
      <c r="D35" s="435"/>
      <c r="E35" s="435"/>
      <c r="F35" s="435"/>
      <c r="G35" s="435"/>
      <c r="H35" s="435"/>
      <c r="I35" s="435"/>
      <c r="J35" s="435"/>
      <c r="K35" s="435"/>
      <c r="L35" s="435"/>
      <c r="M35" s="435"/>
      <c r="N35" s="435"/>
      <c r="O35" s="435"/>
      <c r="P35" s="435"/>
      <c r="Q35" s="435"/>
      <c r="R35" s="435"/>
      <c r="S35" s="435"/>
      <c r="T35" s="435"/>
      <c r="U35" s="435"/>
      <c r="V35" s="435"/>
      <c r="W35" s="435"/>
      <c r="X35" s="201" t="s">
        <v>189</v>
      </c>
      <c r="Y35" s="301">
        <v>1.138475443544619E-2</v>
      </c>
      <c r="Z35" s="301">
        <v>1.4230943044307736E-2</v>
      </c>
      <c r="AA35" s="301">
        <v>1.7077131653169285E-2</v>
      </c>
      <c r="AB35" s="301">
        <v>1.9923320262030829E-2</v>
      </c>
      <c r="AC35" s="301">
        <v>2.276950887089238E-2</v>
      </c>
      <c r="AD35" s="244" t="s">
        <v>404</v>
      </c>
      <c r="AL35" s="200" t="s">
        <v>522</v>
      </c>
      <c r="AM35" s="200" t="s">
        <v>523</v>
      </c>
      <c r="AN35" s="200" t="s">
        <v>524</v>
      </c>
    </row>
    <row r="36" spans="1:44" ht="23.25" customHeight="1" x14ac:dyDescent="0.3">
      <c r="A36" s="435"/>
      <c r="B36" s="435"/>
      <c r="C36" s="628" t="s">
        <v>619</v>
      </c>
      <c r="D36" s="629"/>
      <c r="E36" s="629"/>
      <c r="F36" s="629"/>
      <c r="G36" s="629"/>
      <c r="H36" s="629"/>
      <c r="I36" s="629"/>
      <c r="J36" s="629"/>
      <c r="K36" s="629"/>
      <c r="L36" s="629"/>
      <c r="M36" s="629"/>
      <c r="N36" s="629"/>
      <c r="O36" s="629"/>
      <c r="P36" s="629"/>
      <c r="Q36" s="629"/>
      <c r="R36" s="629"/>
      <c r="S36" s="629"/>
      <c r="T36" s="629"/>
      <c r="U36" s="435"/>
      <c r="V36" s="435"/>
      <c r="W36" s="435"/>
      <c r="X36" s="201" t="s">
        <v>190</v>
      </c>
      <c r="Y36" s="301">
        <v>1.885541322108111E-2</v>
      </c>
      <c r="Z36" s="301">
        <v>2.3569266526351388E-2</v>
      </c>
      <c r="AA36" s="301">
        <v>2.8283119831621666E-2</v>
      </c>
      <c r="AB36" s="301">
        <v>3.2996973136891941E-2</v>
      </c>
      <c r="AC36" s="301">
        <v>3.7710826442162219E-2</v>
      </c>
      <c r="AD36" s="244" t="s">
        <v>404</v>
      </c>
      <c r="AG36" s="200" t="s">
        <v>10</v>
      </c>
      <c r="AH36" s="316">
        <v>2020</v>
      </c>
      <c r="AI36" s="200">
        <v>30</v>
      </c>
      <c r="AJ36" s="200">
        <v>1</v>
      </c>
      <c r="AK36" s="200">
        <v>1000</v>
      </c>
      <c r="AL36" s="200">
        <v>9.3088615463872357E-2</v>
      </c>
      <c r="AM36" s="200">
        <v>93.088615463872358</v>
      </c>
      <c r="AN36" s="200">
        <v>93.088615463872358</v>
      </c>
    </row>
    <row r="37" spans="1:44" ht="18.75" customHeight="1" thickBot="1" x14ac:dyDescent="0.35">
      <c r="A37" s="435"/>
      <c r="B37" s="435"/>
      <c r="C37" s="474"/>
      <c r="D37" s="474"/>
      <c r="E37" s="474"/>
      <c r="F37" s="474"/>
      <c r="G37" s="474"/>
      <c r="H37" s="474"/>
      <c r="I37" s="474"/>
      <c r="J37" s="474"/>
      <c r="K37" s="474"/>
      <c r="L37" s="474"/>
      <c r="M37" s="474"/>
      <c r="N37" s="474"/>
      <c r="O37" s="474"/>
      <c r="P37" s="474"/>
      <c r="Q37" s="474"/>
      <c r="R37" s="474"/>
      <c r="S37" s="474"/>
      <c r="T37" s="474"/>
      <c r="U37" s="435"/>
      <c r="V37" s="435"/>
      <c r="W37" s="435"/>
      <c r="X37" s="201" t="s">
        <v>105</v>
      </c>
      <c r="Y37" s="301">
        <v>1.3942374656015961E-2</v>
      </c>
      <c r="Z37" s="301">
        <v>1.742796832001995E-2</v>
      </c>
      <c r="AA37" s="301">
        <v>2.0913561984023939E-2</v>
      </c>
      <c r="AB37" s="301">
        <v>2.4399155648027929E-2</v>
      </c>
      <c r="AC37" s="301">
        <v>2.7884749312031921E-2</v>
      </c>
      <c r="AD37" s="244" t="s">
        <v>404</v>
      </c>
      <c r="AG37" s="200" t="s">
        <v>10</v>
      </c>
      <c r="AH37" s="200">
        <v>2020</v>
      </c>
      <c r="AI37" s="200">
        <v>15</v>
      </c>
      <c r="AJ37" s="200">
        <v>1</v>
      </c>
      <c r="AK37" s="200">
        <v>1000</v>
      </c>
      <c r="AL37" s="200">
        <v>4.6544307731936171E-2</v>
      </c>
      <c r="AM37" s="200">
        <v>46.544307731936172</v>
      </c>
      <c r="AN37" s="200">
        <v>46.544307731936172</v>
      </c>
    </row>
    <row r="38" spans="1:44" ht="20.25" customHeight="1" thickBot="1" x14ac:dyDescent="0.35">
      <c r="A38" s="435"/>
      <c r="B38" s="435"/>
      <c r="C38" s="475"/>
      <c r="D38" s="427" t="s">
        <v>479</v>
      </c>
      <c r="E38" s="477" t="str">
        <f>IF(AND(ISNUMBER($Z$2),$Z$2&gt;0),$Z$2,"")</f>
        <v/>
      </c>
      <c r="F38" s="478" t="s">
        <v>352</v>
      </c>
      <c r="G38" s="473"/>
      <c r="H38" s="626" t="s">
        <v>355</v>
      </c>
      <c r="I38" s="627"/>
      <c r="J38" s="627"/>
      <c r="K38" s="627"/>
      <c r="L38" s="666" t="str">
        <f>IF(OR(AI2&lt;0,AI2&gt;Z3),"ERROR",IF(AI2=0,"",AI2))</f>
        <v/>
      </c>
      <c r="M38" s="666"/>
      <c r="N38" s="478" t="str">
        <f>IF(L38="ERROR","","ha")</f>
        <v>ha</v>
      </c>
      <c r="O38" s="473"/>
      <c r="P38" s="473"/>
      <c r="Q38" s="473"/>
      <c r="R38" s="473"/>
      <c r="S38" s="473"/>
      <c r="T38" s="473"/>
      <c r="U38" s="435"/>
      <c r="V38" s="435"/>
      <c r="W38" s="435"/>
      <c r="X38" s="201" t="s">
        <v>191</v>
      </c>
      <c r="Y38" s="301">
        <v>0.34382433153064573</v>
      </c>
      <c r="Z38" s="301">
        <v>0.42978041441330711</v>
      </c>
      <c r="AA38" s="301">
        <v>0.5157364972959686</v>
      </c>
      <c r="AB38" s="301">
        <v>0.60169258017863003</v>
      </c>
      <c r="AC38" s="301">
        <v>0.68764866306129147</v>
      </c>
      <c r="AD38" s="244" t="s">
        <v>413</v>
      </c>
      <c r="AG38" s="200" t="s">
        <v>10</v>
      </c>
      <c r="AH38" s="200">
        <v>2020</v>
      </c>
      <c r="AI38" s="200">
        <v>10</v>
      </c>
      <c r="AJ38" s="200">
        <v>1</v>
      </c>
      <c r="AK38" s="200">
        <v>1000</v>
      </c>
      <c r="AL38" s="200">
        <v>3.1029538487957455E-2</v>
      </c>
      <c r="AM38" s="200">
        <v>31.029538487957456</v>
      </c>
      <c r="AN38" s="200">
        <v>31.029538487957456</v>
      </c>
    </row>
    <row r="39" spans="1:44" ht="20.25" hidden="1" customHeight="1" x14ac:dyDescent="0.3">
      <c r="A39" s="435"/>
      <c r="B39" s="435"/>
      <c r="C39" s="213"/>
      <c r="G39" s="305" t="str">
        <f>IF(L38="ERROR","Revise las superficies de plantación consideradas en la opción A y B.","")</f>
        <v/>
      </c>
      <c r="H39" s="213"/>
      <c r="I39" s="213"/>
      <c r="J39" s="213"/>
      <c r="K39" s="213"/>
      <c r="L39" s="213"/>
      <c r="M39" s="213"/>
      <c r="N39" s="213"/>
      <c r="O39" s="213"/>
      <c r="P39" s="213"/>
      <c r="Q39" s="213"/>
      <c r="R39" s="213"/>
      <c r="S39" s="213"/>
      <c r="T39" s="213"/>
      <c r="X39" s="201" t="s">
        <v>27</v>
      </c>
      <c r="Y39" s="301">
        <v>4.2905184381875593E-2</v>
      </c>
      <c r="Z39" s="301">
        <v>0.11203292161465764</v>
      </c>
      <c r="AA39" s="301">
        <v>0.20516585167863827</v>
      </c>
      <c r="AB39" s="301">
        <v>0.34790001540782683</v>
      </c>
      <c r="AC39" s="301">
        <v>0.39760001760894487</v>
      </c>
      <c r="AD39" s="244" t="s">
        <v>333</v>
      </c>
    </row>
    <row r="40" spans="1:44" ht="9.75" customHeight="1" x14ac:dyDescent="0.3">
      <c r="A40" s="435"/>
      <c r="B40" s="435"/>
      <c r="C40" s="473"/>
      <c r="D40" s="473"/>
      <c r="E40" s="473"/>
      <c r="F40" s="473"/>
      <c r="G40" s="473"/>
      <c r="H40" s="473"/>
      <c r="I40" s="473"/>
      <c r="J40" s="473"/>
      <c r="K40" s="473"/>
      <c r="L40" s="473"/>
      <c r="M40" s="473"/>
      <c r="N40" s="473"/>
      <c r="O40" s="473"/>
      <c r="P40" s="473"/>
      <c r="Q40" s="473"/>
      <c r="R40" s="473"/>
      <c r="S40" s="473"/>
      <c r="T40" s="473"/>
      <c r="U40" s="435"/>
      <c r="V40" s="435"/>
      <c r="W40" s="435"/>
      <c r="X40" s="201" t="s">
        <v>28</v>
      </c>
      <c r="Y40" s="301">
        <v>4.2905184381875593E-2</v>
      </c>
      <c r="Z40" s="301">
        <v>0.11203292161465764</v>
      </c>
      <c r="AA40" s="301">
        <v>0.20516585167863827</v>
      </c>
      <c r="AB40" s="301">
        <v>0.34790001540782683</v>
      </c>
      <c r="AC40" s="301">
        <v>0.39760001760894487</v>
      </c>
      <c r="AD40" s="244" t="s">
        <v>333</v>
      </c>
      <c r="AH40" s="197"/>
    </row>
    <row r="41" spans="1:44" ht="16.5" customHeight="1" x14ac:dyDescent="0.3">
      <c r="A41" s="435"/>
      <c r="B41" s="435"/>
      <c r="C41" s="435"/>
      <c r="D41" s="610" t="s">
        <v>93</v>
      </c>
      <c r="E41" s="610" t="s">
        <v>440</v>
      </c>
      <c r="F41" s="610" t="s">
        <v>444</v>
      </c>
      <c r="G41" s="610" t="s">
        <v>443</v>
      </c>
      <c r="H41" s="610" t="s">
        <v>445</v>
      </c>
      <c r="I41" s="665" t="s">
        <v>383</v>
      </c>
      <c r="J41" s="665"/>
      <c r="K41" s="665"/>
      <c r="L41" s="665"/>
      <c r="M41" s="435"/>
      <c r="N41" s="435"/>
      <c r="O41" s="435"/>
      <c r="P41" s="435"/>
      <c r="Q41" s="435"/>
      <c r="R41" s="435"/>
      <c r="S41" s="435"/>
      <c r="T41" s="435"/>
      <c r="U41" s="435"/>
      <c r="V41" s="435"/>
      <c r="W41" s="435"/>
      <c r="X41" s="201" t="s">
        <v>29</v>
      </c>
      <c r="Y41" s="301">
        <v>0.14975536130234138</v>
      </c>
      <c r="Z41" s="301">
        <v>0.18719420162792669</v>
      </c>
      <c r="AA41" s="301">
        <v>0.22463304195351205</v>
      </c>
      <c r="AB41" s="301">
        <v>0.26207188227909739</v>
      </c>
      <c r="AC41" s="301">
        <v>0.29951072260468276</v>
      </c>
      <c r="AD41" s="244" t="s">
        <v>333</v>
      </c>
    </row>
    <row r="42" spans="1:44" ht="30" customHeight="1" x14ac:dyDescent="0.3">
      <c r="A42" s="435"/>
      <c r="B42" s="435"/>
      <c r="C42" s="435"/>
      <c r="D42" s="611"/>
      <c r="E42" s="611"/>
      <c r="F42" s="611"/>
      <c r="G42" s="611"/>
      <c r="H42" s="611"/>
      <c r="I42" s="428" t="s">
        <v>368</v>
      </c>
      <c r="J42" s="428" t="s">
        <v>455</v>
      </c>
      <c r="K42" s="664" t="s">
        <v>456</v>
      </c>
      <c r="L42" s="664"/>
      <c r="M42" s="435"/>
      <c r="N42" s="435"/>
      <c r="O42" s="435"/>
      <c r="P42" s="435"/>
      <c r="Q42" s="435"/>
      <c r="R42" s="435"/>
      <c r="S42" s="435"/>
      <c r="T42" s="435"/>
      <c r="U42" s="435"/>
      <c r="V42" s="435"/>
      <c r="W42" s="435"/>
      <c r="X42" s="201" t="s">
        <v>33</v>
      </c>
      <c r="Y42" s="301">
        <v>4.2905184381875593E-2</v>
      </c>
      <c r="Z42" s="301">
        <v>0.11203292161465764</v>
      </c>
      <c r="AA42" s="301">
        <v>0.20516585167863827</v>
      </c>
      <c r="AB42" s="301">
        <v>0.34790001540782683</v>
      </c>
      <c r="AC42" s="301">
        <v>0.39760001760894487</v>
      </c>
      <c r="AD42" s="244" t="s">
        <v>333</v>
      </c>
      <c r="AH42" s="186"/>
      <c r="AI42" s="186"/>
      <c r="AJ42" s="186"/>
      <c r="AN42" s="204" t="s">
        <v>457</v>
      </c>
      <c r="AO42" s="646" t="s">
        <v>458</v>
      </c>
      <c r="AP42" s="647"/>
      <c r="AQ42" s="647"/>
      <c r="AR42" s="648"/>
    </row>
    <row r="43" spans="1:44" ht="16.5" customHeight="1" x14ac:dyDescent="0.3">
      <c r="A43" s="435"/>
      <c r="B43" s="435"/>
      <c r="C43" s="435"/>
      <c r="D43" s="288"/>
      <c r="E43" s="290"/>
      <c r="F43" s="293"/>
      <c r="G43" s="294"/>
      <c r="H43" s="291"/>
      <c r="I43" s="299" t="str">
        <f t="shared" ref="I43:I57" si="11">IF(ISNUMBER(AO44),AO44,"")</f>
        <v/>
      </c>
      <c r="J43" s="318" t="str">
        <f t="shared" ref="J43:J57" si="12">IF(ISNUMBER(AQ44),AQ44,"")</f>
        <v/>
      </c>
      <c r="K43" s="651" t="str">
        <f t="shared" ref="K43:K57" si="13">IF(ISNUMBER(AR44),AR44,"")</f>
        <v/>
      </c>
      <c r="L43" s="652"/>
      <c r="M43" s="435"/>
      <c r="N43" s="435"/>
      <c r="O43" s="435"/>
      <c r="P43" s="662" t="s">
        <v>371</v>
      </c>
      <c r="Q43" s="662"/>
      <c r="R43" s="663"/>
      <c r="S43" s="223">
        <f>SUM(J43:J57)</f>
        <v>0</v>
      </c>
      <c r="T43" s="211" t="s">
        <v>335</v>
      </c>
      <c r="U43" s="485"/>
      <c r="V43" s="485"/>
      <c r="W43" s="490"/>
      <c r="X43" s="201" t="s">
        <v>34</v>
      </c>
      <c r="Y43" s="301">
        <v>4.2905184381875593E-2</v>
      </c>
      <c r="Z43" s="301">
        <v>0.11203292161465764</v>
      </c>
      <c r="AA43" s="301">
        <v>0.20516585167863827</v>
      </c>
      <c r="AB43" s="301">
        <v>0.34790001540782683</v>
      </c>
      <c r="AC43" s="301">
        <v>0.39760001760894487</v>
      </c>
      <c r="AD43" s="244" t="s">
        <v>333</v>
      </c>
      <c r="AF43" s="221" t="s">
        <v>381</v>
      </c>
      <c r="AG43" s="221" t="s">
        <v>380</v>
      </c>
      <c r="AH43" s="199" t="s">
        <v>312</v>
      </c>
      <c r="AI43" s="199" t="s">
        <v>306</v>
      </c>
      <c r="AJ43" s="199" t="s">
        <v>307</v>
      </c>
      <c r="AK43" s="300" t="s">
        <v>308</v>
      </c>
      <c r="AL43" s="300" t="s">
        <v>309</v>
      </c>
      <c r="AM43" s="300" t="s">
        <v>462</v>
      </c>
      <c r="AN43" s="203" t="s">
        <v>343</v>
      </c>
      <c r="AO43" s="203" t="s">
        <v>344</v>
      </c>
      <c r="AP43" s="229" t="s">
        <v>345</v>
      </c>
      <c r="AQ43" s="347" t="s">
        <v>342</v>
      </c>
      <c r="AR43" s="348" t="s">
        <v>369</v>
      </c>
    </row>
    <row r="44" spans="1:44" ht="16.5" customHeight="1" x14ac:dyDescent="0.3">
      <c r="A44" s="435"/>
      <c r="B44" s="435"/>
      <c r="C44" s="435"/>
      <c r="D44" s="288"/>
      <c r="E44" s="290"/>
      <c r="F44" s="293"/>
      <c r="G44" s="294"/>
      <c r="H44" s="291"/>
      <c r="I44" s="299" t="str">
        <f t="shared" si="11"/>
        <v/>
      </c>
      <c r="J44" s="318" t="str">
        <f t="shared" si="12"/>
        <v/>
      </c>
      <c r="K44" s="651" t="str">
        <f t="shared" si="13"/>
        <v/>
      </c>
      <c r="L44" s="652"/>
      <c r="M44" s="435"/>
      <c r="N44" s="435"/>
      <c r="O44" s="435"/>
      <c r="P44" s="662"/>
      <c r="Q44" s="662"/>
      <c r="R44" s="663"/>
      <c r="S44" s="223" t="str">
        <f>IF(AND(ISNUMBER(S43/AI2),AI2&gt;0,AI2&lt;=Z3),S43/AI2,IF(S43=0,"","ERROR"))</f>
        <v/>
      </c>
      <c r="T44" s="211" t="s">
        <v>336</v>
      </c>
      <c r="U44" s="485"/>
      <c r="V44" s="485"/>
      <c r="W44" s="490"/>
      <c r="X44" s="201" t="s">
        <v>171</v>
      </c>
      <c r="Y44" s="301">
        <v>3.8995053250978962E-2</v>
      </c>
      <c r="Z44" s="301">
        <v>4.8743816563723702E-2</v>
      </c>
      <c r="AA44" s="301">
        <v>8.4081899478263639E-2</v>
      </c>
      <c r="AB44" s="301">
        <v>9.8095549391307588E-2</v>
      </c>
      <c r="AC44" s="301">
        <v>0.11210919930435154</v>
      </c>
      <c r="AD44" s="244" t="s">
        <v>405</v>
      </c>
      <c r="AF44" s="222">
        <f>E43</f>
        <v>0</v>
      </c>
      <c r="AG44" s="222" t="str">
        <f>IF(ISNUMBER(E43),AF44-$AB$2,"")</f>
        <v/>
      </c>
      <c r="AH44" s="197" t="e">
        <f t="shared" ref="AH44:AH58" si="14">IF((VLOOKUP(D43,$X$4:$AC$94,2,0)*(F43-AG44)/20)&gt;0,(VLOOKUP(D43,$X$4:$AC$94,2,0)*(F43-AG44)/20),0)</f>
        <v>#N/A</v>
      </c>
      <c r="AI44" s="197" t="e">
        <f t="shared" ref="AI44:AI58" si="15">IF((VLOOKUP(D43,$X$4:$AC$94,2,0)+(F43-AG44-20)*((VLOOKUP(D43,$X$4:$AC$94,3,0)-VLOOKUP(D43,$X$4:$AC$94,2,0))/5))&gt;0,(VLOOKUP(D43,$X$4:$AC$94,2,0)+(F43-AG44-20)*((VLOOKUP(D43,$X$4:$AC$94,3,0)-VLOOKUP(D43,$X$4:$AC$94,2,0))/5)),0)</f>
        <v>#N/A</v>
      </c>
      <c r="AJ44" s="197" t="e">
        <f t="shared" ref="AJ44:AJ58" si="16">IF((VLOOKUP(D43,$X$4:$AC$94,3,0)+(F43-AG44-25)*((VLOOKUP(D43,$X$4:$AC$94,4,0)-VLOOKUP(D43,$X$4:$AC$94,3,0))/5)&gt;0),(VLOOKUP(D43,$X$4:$AC$94,3,0)+(F43-AG44-25)*((VLOOKUP(D43,$X$4:$AC$94,4,0)-VLOOKUP(D43,$X$4:$AC$94,3,0))/5)),0)</f>
        <v>#N/A</v>
      </c>
      <c r="AK44" s="197" t="e">
        <f t="shared" ref="AK44:AK58" si="17">IF((VLOOKUP(D43,$X$4:$AC$94,4,0)+(F43-AG44-30)*((VLOOKUP(D43,$X$4:$AC$94,5,0)-VLOOKUP(D43,$X$4:$AC$94,4,0))/5)&gt;0),(VLOOKUP(D43,$X$4:$AC$94,4,0)+(F43-AG44-30)*((VLOOKUP(D43,$X$4:$AC$94,5,0)-VLOOKUP(D43,$X$4:$AC$94,4,0))/5)),0)</f>
        <v>#N/A</v>
      </c>
      <c r="AL44" s="197" t="e">
        <f t="shared" ref="AL44:AL58" si="18">IF((VLOOKUP(D43,$X$4:$AC$94,5,0)+(F43-AG44-35)*((VLOOKUP(D43,$X$4:$AC$94,6,0)-VLOOKUP(D43,$X$4:$AC$94,5,0))/5)&gt;0),(VLOOKUP(D43,$X$4:$AC$94,5,0)+(F43-AG44-35)*((VLOOKUP(D43,$X$4:$AC$94,6,0)-VLOOKUP(D43,$X$4:$AC$94,5,0))/5)),0)</f>
        <v>#N/A</v>
      </c>
      <c r="AM44" s="197" t="e">
        <f t="shared" ref="AM44:AM58" si="19">IF((VLOOKUP(D43,$X$4:$AC$94,6,0)*(F43-AG44)/40)&gt;0,(VLOOKUP(D43,$X$4:$AC$94,6,0)*(F43-AG44)/40),0)</f>
        <v>#N/A</v>
      </c>
      <c r="AN44" s="207" t="e">
        <f>IF(F43-AG44&lt;20,AH44,IF(OR(F43-AG44=20,AND(F43-AG44&lt;25,F43-AG44&gt;20)),AI44,IF(OR(F43-AG44=25,AND(F43-AG44&lt;30,F43-AG44&gt;25)),AJ44,IF(OR(F43-AG44=30,AND(F43-AG44&lt;35,F43-AG44&gt;30)),AK44,IF(OR(F43-AG44=35,AND(F43-AG44&lt;40,F43-AG44&gt;35)),AL44,AM44)))))</f>
        <v>#VALUE!</v>
      </c>
      <c r="AO44" s="207" t="e">
        <f>AN44/2</f>
        <v>#VALUE!</v>
      </c>
      <c r="AP44" s="195" t="e">
        <f>(AO44*H43)/G43</f>
        <v>#VALUE!</v>
      </c>
      <c r="AQ44" s="195" t="e">
        <f>AO44*H43</f>
        <v>#VALUE!</v>
      </c>
      <c r="AR44" s="296" t="e">
        <f>AQ44/G43</f>
        <v>#VALUE!</v>
      </c>
    </row>
    <row r="45" spans="1:44" ht="16.5" customHeight="1" x14ac:dyDescent="0.3">
      <c r="A45" s="435"/>
      <c r="B45" s="435"/>
      <c r="C45" s="435"/>
      <c r="D45" s="288"/>
      <c r="E45" s="290"/>
      <c r="F45" s="293"/>
      <c r="G45" s="294"/>
      <c r="H45" s="291"/>
      <c r="I45" s="299" t="str">
        <f t="shared" si="11"/>
        <v/>
      </c>
      <c r="J45" s="318" t="str">
        <f t="shared" si="12"/>
        <v/>
      </c>
      <c r="K45" s="651" t="str">
        <f t="shared" si="13"/>
        <v/>
      </c>
      <c r="L45" s="652"/>
      <c r="M45" s="435"/>
      <c r="N45" s="661" t="str">
        <f>IF(S44="ERROR","Revise las superficies de plantación consideradas en las opciones A y B.","")</f>
        <v/>
      </c>
      <c r="O45" s="661"/>
      <c r="P45" s="661"/>
      <c r="Q45" s="661"/>
      <c r="R45" s="661"/>
      <c r="S45" s="661"/>
      <c r="T45" s="661"/>
      <c r="U45" s="485"/>
      <c r="V45" s="485"/>
      <c r="W45" s="490"/>
      <c r="X45" s="201" t="s">
        <v>39</v>
      </c>
      <c r="Y45" s="301">
        <v>2.5342670549338638E-2</v>
      </c>
      <c r="Z45" s="301">
        <v>3.1678338186673295E-2</v>
      </c>
      <c r="AA45" s="301">
        <v>8.9359935740666363E-2</v>
      </c>
      <c r="AB45" s="301">
        <v>0.17131551853775909</v>
      </c>
      <c r="AC45" s="301">
        <v>0.19578916404315322</v>
      </c>
      <c r="AD45" s="244" t="s">
        <v>405</v>
      </c>
      <c r="AF45" s="222">
        <f t="shared" ref="AF45:AF58" si="20">E44</f>
        <v>0</v>
      </c>
      <c r="AG45" s="222" t="str">
        <f t="shared" ref="AG45:AG58" si="21">IF(ISNUMBER(E44),AF45-$AB$2,"")</f>
        <v/>
      </c>
      <c r="AH45" s="197" t="e">
        <f t="shared" si="14"/>
        <v>#N/A</v>
      </c>
      <c r="AI45" s="197" t="e">
        <f t="shared" si="15"/>
        <v>#N/A</v>
      </c>
      <c r="AJ45" s="197" t="e">
        <f t="shared" si="16"/>
        <v>#N/A</v>
      </c>
      <c r="AK45" s="197" t="e">
        <f t="shared" si="17"/>
        <v>#N/A</v>
      </c>
      <c r="AL45" s="197" t="e">
        <f t="shared" si="18"/>
        <v>#N/A</v>
      </c>
      <c r="AM45" s="197" t="e">
        <f t="shared" si="19"/>
        <v>#N/A</v>
      </c>
      <c r="AN45" s="207" t="e">
        <f t="shared" ref="AN45:AN58" si="22">IF(F44-AG45&lt;20,AH45,IF(OR(F44-AG45=20,AND(F44-AG45&lt;25,F44-AG45&gt;20)),AI45,IF(OR(F44-AG45=25,AND(F44-AG45&lt;30,F44-AG45&gt;25)),AJ45,IF(OR(F44-AG45=30,AND(F44-AG45&lt;35,F44-AG45&gt;30)),AK45,IF(OR(F44-AG45=35,AND(F44-AG45&lt;40,F44-AG45&gt;35)),AL45,AM45)))))</f>
        <v>#VALUE!</v>
      </c>
      <c r="AO45" s="207" t="e">
        <f>AN45/2</f>
        <v>#VALUE!</v>
      </c>
      <c r="AP45" s="195" t="e">
        <f t="shared" ref="AP45:AP58" si="23">(AO45*H44)/G44</f>
        <v>#VALUE!</v>
      </c>
      <c r="AQ45" s="195" t="e">
        <f t="shared" ref="AQ45:AQ58" si="24">AO45*H44</f>
        <v>#VALUE!</v>
      </c>
      <c r="AR45" s="296" t="e">
        <f t="shared" ref="AR45:AR58" si="25">AQ45/G44</f>
        <v>#VALUE!</v>
      </c>
    </row>
    <row r="46" spans="1:44" ht="16.5" customHeight="1" thickBot="1" x14ac:dyDescent="0.35">
      <c r="A46" s="435"/>
      <c r="B46" s="435"/>
      <c r="C46" s="435"/>
      <c r="D46" s="288"/>
      <c r="E46" s="290"/>
      <c r="F46" s="293"/>
      <c r="G46" s="294"/>
      <c r="H46" s="291"/>
      <c r="I46" s="299" t="str">
        <f t="shared" si="11"/>
        <v/>
      </c>
      <c r="J46" s="318" t="str">
        <f t="shared" si="12"/>
        <v/>
      </c>
      <c r="K46" s="651" t="str">
        <f t="shared" si="13"/>
        <v/>
      </c>
      <c r="L46" s="652"/>
      <c r="M46" s="435"/>
      <c r="N46" s="661"/>
      <c r="O46" s="661"/>
      <c r="P46" s="661"/>
      <c r="Q46" s="661"/>
      <c r="R46" s="661"/>
      <c r="S46" s="661"/>
      <c r="T46" s="661"/>
      <c r="U46" s="485"/>
      <c r="V46" s="485"/>
      <c r="W46" s="490"/>
      <c r="X46" s="201" t="s">
        <v>40</v>
      </c>
      <c r="Y46" s="301">
        <v>0.3086707442568718</v>
      </c>
      <c r="Z46" s="301">
        <v>0.57498705887181834</v>
      </c>
      <c r="AA46" s="301">
        <v>0.89565940633103525</v>
      </c>
      <c r="AB46" s="301">
        <v>1.2444439508529392</v>
      </c>
      <c r="AC46" s="301">
        <v>1.3659285306119766</v>
      </c>
      <c r="AD46" s="244" t="s">
        <v>333</v>
      </c>
      <c r="AF46" s="222">
        <f t="shared" si="20"/>
        <v>0</v>
      </c>
      <c r="AG46" s="222" t="str">
        <f>IF(ISNUMBER(E45),AF46-$AB$2,"")</f>
        <v/>
      </c>
      <c r="AH46" s="197" t="e">
        <f t="shared" si="14"/>
        <v>#N/A</v>
      </c>
      <c r="AI46" s="197" t="e">
        <f t="shared" si="15"/>
        <v>#N/A</v>
      </c>
      <c r="AJ46" s="197" t="e">
        <f t="shared" si="16"/>
        <v>#N/A</v>
      </c>
      <c r="AK46" s="197" t="e">
        <f t="shared" si="17"/>
        <v>#N/A</v>
      </c>
      <c r="AL46" s="197" t="e">
        <f t="shared" si="18"/>
        <v>#N/A</v>
      </c>
      <c r="AM46" s="197" t="e">
        <f t="shared" si="19"/>
        <v>#N/A</v>
      </c>
      <c r="AN46" s="207" t="e">
        <f t="shared" si="22"/>
        <v>#VALUE!</v>
      </c>
      <c r="AO46" s="207" t="e">
        <f>AN46/2</f>
        <v>#VALUE!</v>
      </c>
      <c r="AP46" s="195" t="e">
        <f t="shared" si="23"/>
        <v>#VALUE!</v>
      </c>
      <c r="AQ46" s="195" t="e">
        <f t="shared" si="24"/>
        <v>#VALUE!</v>
      </c>
      <c r="AR46" s="296" t="e">
        <f t="shared" si="25"/>
        <v>#VALUE!</v>
      </c>
    </row>
    <row r="47" spans="1:44" ht="16.5" customHeight="1" x14ac:dyDescent="0.3">
      <c r="A47" s="435"/>
      <c r="B47" s="435"/>
      <c r="C47" s="435"/>
      <c r="D47" s="288"/>
      <c r="E47" s="290"/>
      <c r="F47" s="293"/>
      <c r="G47" s="294"/>
      <c r="H47" s="291"/>
      <c r="I47" s="299" t="str">
        <f t="shared" si="11"/>
        <v/>
      </c>
      <c r="J47" s="318" t="str">
        <f t="shared" si="12"/>
        <v/>
      </c>
      <c r="K47" s="651" t="str">
        <f t="shared" si="13"/>
        <v/>
      </c>
      <c r="L47" s="652"/>
      <c r="M47" s="435"/>
      <c r="N47" s="491">
        <v>3</v>
      </c>
      <c r="O47" s="649" t="s">
        <v>387</v>
      </c>
      <c r="P47" s="649"/>
      <c r="Q47" s="649"/>
      <c r="R47" s="649"/>
      <c r="S47" s="649"/>
      <c r="T47" s="650"/>
      <c r="U47" s="485"/>
      <c r="V47" s="485"/>
      <c r="W47" s="490"/>
      <c r="X47" s="201" t="s">
        <v>41</v>
      </c>
      <c r="Y47" s="301">
        <v>0.34624258854033912</v>
      </c>
      <c r="Z47" s="301">
        <v>0.63416449134559993</v>
      </c>
      <c r="AA47" s="301">
        <v>1.2964681323565146</v>
      </c>
      <c r="AB47" s="301">
        <v>2.8776869027198626</v>
      </c>
      <c r="AC47" s="301">
        <v>3.4048640619376549</v>
      </c>
      <c r="AD47" s="244" t="s">
        <v>333</v>
      </c>
      <c r="AF47" s="222">
        <f t="shared" si="20"/>
        <v>0</v>
      </c>
      <c r="AG47" s="222" t="str">
        <f t="shared" si="21"/>
        <v/>
      </c>
      <c r="AH47" s="197" t="e">
        <f t="shared" si="14"/>
        <v>#N/A</v>
      </c>
      <c r="AI47" s="197" t="e">
        <f t="shared" si="15"/>
        <v>#N/A</v>
      </c>
      <c r="AJ47" s="197" t="e">
        <f t="shared" si="16"/>
        <v>#N/A</v>
      </c>
      <c r="AK47" s="197" t="e">
        <f t="shared" si="17"/>
        <v>#N/A</v>
      </c>
      <c r="AL47" s="197" t="e">
        <f t="shared" si="18"/>
        <v>#N/A</v>
      </c>
      <c r="AM47" s="197" t="e">
        <f t="shared" si="19"/>
        <v>#N/A</v>
      </c>
      <c r="AN47" s="207" t="e">
        <f t="shared" si="22"/>
        <v>#VALUE!</v>
      </c>
      <c r="AO47" s="207" t="e">
        <f t="shared" ref="AO47:AO58" si="26">AN47/2</f>
        <v>#VALUE!</v>
      </c>
      <c r="AP47" s="195" t="e">
        <f t="shared" si="23"/>
        <v>#VALUE!</v>
      </c>
      <c r="AQ47" s="195" t="e">
        <f t="shared" si="24"/>
        <v>#VALUE!</v>
      </c>
      <c r="AR47" s="296" t="e">
        <f t="shared" si="25"/>
        <v>#VALUE!</v>
      </c>
    </row>
    <row r="48" spans="1:44" ht="16.5" customHeight="1" x14ac:dyDescent="0.3">
      <c r="A48" s="435"/>
      <c r="B48" s="435"/>
      <c r="C48" s="435"/>
      <c r="D48" s="289"/>
      <c r="E48" s="290"/>
      <c r="F48" s="293"/>
      <c r="G48" s="294"/>
      <c r="H48" s="292"/>
      <c r="I48" s="299" t="str">
        <f t="shared" si="11"/>
        <v/>
      </c>
      <c r="J48" s="318" t="str">
        <f t="shared" si="12"/>
        <v/>
      </c>
      <c r="K48" s="651" t="str">
        <f t="shared" si="13"/>
        <v/>
      </c>
      <c r="L48" s="652"/>
      <c r="M48" s="435"/>
      <c r="N48" s="492">
        <v>4</v>
      </c>
      <c r="O48" s="653" t="s">
        <v>617</v>
      </c>
      <c r="P48" s="653"/>
      <c r="Q48" s="653"/>
      <c r="R48" s="653"/>
      <c r="S48" s="653"/>
      <c r="T48" s="654"/>
      <c r="U48" s="485"/>
      <c r="V48" s="485"/>
      <c r="W48" s="490"/>
      <c r="X48" s="201" t="s">
        <v>42</v>
      </c>
      <c r="Y48" s="301">
        <v>2.6547327211478084E-2</v>
      </c>
      <c r="Z48" s="301">
        <v>6.8345157178653956E-2</v>
      </c>
      <c r="AA48" s="301">
        <v>0.13534900640836928</v>
      </c>
      <c r="AB48" s="301">
        <v>0.15790717414309749</v>
      </c>
      <c r="AC48" s="301">
        <v>0.1804653418778257</v>
      </c>
      <c r="AD48" s="244" t="s">
        <v>404</v>
      </c>
      <c r="AF48" s="222">
        <f t="shared" si="20"/>
        <v>0</v>
      </c>
      <c r="AG48" s="222" t="str">
        <f t="shared" si="21"/>
        <v/>
      </c>
      <c r="AH48" s="197" t="e">
        <f t="shared" si="14"/>
        <v>#N/A</v>
      </c>
      <c r="AI48" s="197" t="e">
        <f t="shared" si="15"/>
        <v>#N/A</v>
      </c>
      <c r="AJ48" s="197" t="e">
        <f t="shared" si="16"/>
        <v>#N/A</v>
      </c>
      <c r="AK48" s="197" t="e">
        <f t="shared" si="17"/>
        <v>#N/A</v>
      </c>
      <c r="AL48" s="197" t="e">
        <f t="shared" si="18"/>
        <v>#N/A</v>
      </c>
      <c r="AM48" s="197" t="e">
        <f t="shared" si="19"/>
        <v>#N/A</v>
      </c>
      <c r="AN48" s="207" t="e">
        <f t="shared" si="22"/>
        <v>#VALUE!</v>
      </c>
      <c r="AO48" s="207" t="e">
        <f t="shared" si="26"/>
        <v>#VALUE!</v>
      </c>
      <c r="AP48" s="195" t="e">
        <f t="shared" si="23"/>
        <v>#VALUE!</v>
      </c>
      <c r="AQ48" s="195" t="e">
        <f t="shared" si="24"/>
        <v>#VALUE!</v>
      </c>
      <c r="AR48" s="296" t="e">
        <f t="shared" si="25"/>
        <v>#VALUE!</v>
      </c>
    </row>
    <row r="49" spans="1:44" ht="16.5" customHeight="1" x14ac:dyDescent="0.3">
      <c r="A49" s="435"/>
      <c r="B49" s="435"/>
      <c r="C49" s="435"/>
      <c r="D49" s="289"/>
      <c r="E49" s="290"/>
      <c r="F49" s="293"/>
      <c r="G49" s="295"/>
      <c r="H49" s="292"/>
      <c r="I49" s="299" t="str">
        <f t="shared" si="11"/>
        <v/>
      </c>
      <c r="J49" s="318" t="str">
        <f t="shared" si="12"/>
        <v/>
      </c>
      <c r="K49" s="651" t="str">
        <f t="shared" si="13"/>
        <v/>
      </c>
      <c r="L49" s="652"/>
      <c r="M49" s="435"/>
      <c r="N49" s="493"/>
      <c r="O49" s="653"/>
      <c r="P49" s="653"/>
      <c r="Q49" s="653"/>
      <c r="R49" s="653"/>
      <c r="S49" s="653"/>
      <c r="T49" s="654"/>
      <c r="U49" s="485"/>
      <c r="V49" s="485"/>
      <c r="W49" s="490"/>
      <c r="X49" s="201" t="s">
        <v>43</v>
      </c>
      <c r="Y49" s="301">
        <v>3.079439737450931E-2</v>
      </c>
      <c r="Z49" s="301">
        <v>3.8492996718136628E-2</v>
      </c>
      <c r="AA49" s="301">
        <v>8.21892270440258E-2</v>
      </c>
      <c r="AB49" s="301">
        <v>0.1375600979341646</v>
      </c>
      <c r="AC49" s="301">
        <v>0.15721154049618813</v>
      </c>
      <c r="AD49" s="244" t="s">
        <v>404</v>
      </c>
      <c r="AF49" s="222">
        <f>E48</f>
        <v>0</v>
      </c>
      <c r="AG49" s="222" t="str">
        <f t="shared" si="21"/>
        <v/>
      </c>
      <c r="AH49" s="197" t="e">
        <f t="shared" si="14"/>
        <v>#N/A</v>
      </c>
      <c r="AI49" s="197" t="e">
        <f t="shared" si="15"/>
        <v>#N/A</v>
      </c>
      <c r="AJ49" s="197" t="e">
        <f t="shared" si="16"/>
        <v>#N/A</v>
      </c>
      <c r="AK49" s="197" t="e">
        <f t="shared" si="17"/>
        <v>#N/A</v>
      </c>
      <c r="AL49" s="197" t="e">
        <f t="shared" si="18"/>
        <v>#N/A</v>
      </c>
      <c r="AM49" s="197" t="e">
        <f t="shared" si="19"/>
        <v>#N/A</v>
      </c>
      <c r="AN49" s="207" t="e">
        <f t="shared" si="22"/>
        <v>#VALUE!</v>
      </c>
      <c r="AO49" s="207" t="e">
        <f t="shared" si="26"/>
        <v>#VALUE!</v>
      </c>
      <c r="AP49" s="195" t="e">
        <f t="shared" si="23"/>
        <v>#VALUE!</v>
      </c>
      <c r="AQ49" s="195" t="e">
        <f t="shared" si="24"/>
        <v>#VALUE!</v>
      </c>
      <c r="AR49" s="296" t="e">
        <f t="shared" si="25"/>
        <v>#VALUE!</v>
      </c>
    </row>
    <row r="50" spans="1:44" ht="16.5" customHeight="1" x14ac:dyDescent="0.3">
      <c r="A50" s="435"/>
      <c r="B50" s="435"/>
      <c r="C50" s="435"/>
      <c r="D50" s="289"/>
      <c r="E50" s="290"/>
      <c r="F50" s="293"/>
      <c r="G50" s="295"/>
      <c r="H50" s="292"/>
      <c r="I50" s="299" t="str">
        <f t="shared" si="11"/>
        <v/>
      </c>
      <c r="J50" s="318" t="str">
        <f t="shared" si="12"/>
        <v/>
      </c>
      <c r="K50" s="651" t="str">
        <f t="shared" si="13"/>
        <v/>
      </c>
      <c r="L50" s="652"/>
      <c r="M50" s="435"/>
      <c r="N50" s="493"/>
      <c r="O50" s="653"/>
      <c r="P50" s="653"/>
      <c r="Q50" s="653"/>
      <c r="R50" s="653"/>
      <c r="S50" s="653"/>
      <c r="T50" s="654"/>
      <c r="U50" s="435"/>
      <c r="V50" s="435"/>
      <c r="W50" s="435"/>
      <c r="X50" s="201" t="s">
        <v>276</v>
      </c>
      <c r="Y50" s="301">
        <v>3.4157697129970299E-2</v>
      </c>
      <c r="Z50" s="301">
        <v>4.2697121412462874E-2</v>
      </c>
      <c r="AA50" s="301">
        <v>5.1236545694955449E-2</v>
      </c>
      <c r="AB50" s="301">
        <v>0.10884537979242993</v>
      </c>
      <c r="AC50" s="301">
        <v>0.12636076078387784</v>
      </c>
      <c r="AD50" s="244" t="s">
        <v>406</v>
      </c>
      <c r="AF50" s="222">
        <f t="shared" si="20"/>
        <v>0</v>
      </c>
      <c r="AG50" s="222" t="str">
        <f t="shared" si="21"/>
        <v/>
      </c>
      <c r="AH50" s="197" t="e">
        <f t="shared" si="14"/>
        <v>#N/A</v>
      </c>
      <c r="AI50" s="197" t="e">
        <f t="shared" si="15"/>
        <v>#N/A</v>
      </c>
      <c r="AJ50" s="197" t="e">
        <f t="shared" si="16"/>
        <v>#N/A</v>
      </c>
      <c r="AK50" s="197" t="e">
        <f t="shared" si="17"/>
        <v>#N/A</v>
      </c>
      <c r="AL50" s="197" t="e">
        <f t="shared" si="18"/>
        <v>#N/A</v>
      </c>
      <c r="AM50" s="197" t="e">
        <f t="shared" si="19"/>
        <v>#N/A</v>
      </c>
      <c r="AN50" s="207" t="e">
        <f t="shared" si="22"/>
        <v>#VALUE!</v>
      </c>
      <c r="AO50" s="207" t="e">
        <f t="shared" si="26"/>
        <v>#VALUE!</v>
      </c>
      <c r="AP50" s="195" t="e">
        <f t="shared" si="23"/>
        <v>#VALUE!</v>
      </c>
      <c r="AQ50" s="195" t="e">
        <f t="shared" si="24"/>
        <v>#VALUE!</v>
      </c>
      <c r="AR50" s="296" t="e">
        <f t="shared" si="25"/>
        <v>#VALUE!</v>
      </c>
    </row>
    <row r="51" spans="1:44" ht="16.5" customHeight="1" x14ac:dyDescent="0.3">
      <c r="A51" s="435"/>
      <c r="B51" s="435"/>
      <c r="C51" s="435"/>
      <c r="D51" s="289"/>
      <c r="E51" s="290"/>
      <c r="F51" s="293"/>
      <c r="G51" s="295"/>
      <c r="H51" s="292"/>
      <c r="I51" s="299" t="str">
        <f t="shared" si="11"/>
        <v/>
      </c>
      <c r="J51" s="318" t="str">
        <f t="shared" si="12"/>
        <v/>
      </c>
      <c r="K51" s="651" t="str">
        <f t="shared" si="13"/>
        <v/>
      </c>
      <c r="L51" s="652"/>
      <c r="M51" s="435"/>
      <c r="N51" s="492">
        <v>5</v>
      </c>
      <c r="O51" s="655" t="s">
        <v>351</v>
      </c>
      <c r="P51" s="655"/>
      <c r="Q51" s="655"/>
      <c r="R51" s="655"/>
      <c r="S51" s="655"/>
      <c r="T51" s="656"/>
      <c r="U51" s="435"/>
      <c r="V51" s="435"/>
      <c r="W51" s="435"/>
      <c r="X51" s="201" t="s">
        <v>348</v>
      </c>
      <c r="Y51" s="301">
        <v>2.6073137524437157E-2</v>
      </c>
      <c r="Z51" s="301">
        <v>3.2591421905546439E-2</v>
      </c>
      <c r="AA51" s="301">
        <v>7.9197813699280514E-2</v>
      </c>
      <c r="AB51" s="301">
        <v>9.2397449315827287E-2</v>
      </c>
      <c r="AC51" s="301">
        <v>0.10559708493237403</v>
      </c>
      <c r="AD51" s="244" t="s">
        <v>404</v>
      </c>
      <c r="AF51" s="222">
        <f t="shared" si="20"/>
        <v>0</v>
      </c>
      <c r="AG51" s="222" t="str">
        <f t="shared" si="21"/>
        <v/>
      </c>
      <c r="AH51" s="197" t="e">
        <f t="shared" si="14"/>
        <v>#N/A</v>
      </c>
      <c r="AI51" s="197" t="e">
        <f t="shared" si="15"/>
        <v>#N/A</v>
      </c>
      <c r="AJ51" s="197" t="e">
        <f t="shared" si="16"/>
        <v>#N/A</v>
      </c>
      <c r="AK51" s="197" t="e">
        <f t="shared" si="17"/>
        <v>#N/A</v>
      </c>
      <c r="AL51" s="197" t="e">
        <f t="shared" si="18"/>
        <v>#N/A</v>
      </c>
      <c r="AM51" s="197" t="e">
        <f t="shared" si="19"/>
        <v>#N/A</v>
      </c>
      <c r="AN51" s="207" t="e">
        <f t="shared" si="22"/>
        <v>#VALUE!</v>
      </c>
      <c r="AO51" s="207" t="e">
        <f t="shared" si="26"/>
        <v>#VALUE!</v>
      </c>
      <c r="AP51" s="195" t="e">
        <f t="shared" si="23"/>
        <v>#VALUE!</v>
      </c>
      <c r="AQ51" s="195" t="e">
        <f t="shared" si="24"/>
        <v>#VALUE!</v>
      </c>
      <c r="AR51" s="296" t="e">
        <f t="shared" si="25"/>
        <v>#VALUE!</v>
      </c>
    </row>
    <row r="52" spans="1:44" ht="19.5" customHeight="1" x14ac:dyDescent="0.3">
      <c r="A52" s="435"/>
      <c r="B52" s="435"/>
      <c r="C52" s="435"/>
      <c r="D52" s="289"/>
      <c r="E52" s="290"/>
      <c r="F52" s="293"/>
      <c r="G52" s="295"/>
      <c r="H52" s="292"/>
      <c r="I52" s="299" t="str">
        <f t="shared" si="11"/>
        <v/>
      </c>
      <c r="J52" s="318" t="str">
        <f t="shared" si="12"/>
        <v/>
      </c>
      <c r="K52" s="651" t="str">
        <f t="shared" si="13"/>
        <v/>
      </c>
      <c r="L52" s="652"/>
      <c r="M52" s="435"/>
      <c r="N52" s="492">
        <v>6</v>
      </c>
      <c r="O52" s="657" t="s">
        <v>459</v>
      </c>
      <c r="P52" s="657"/>
      <c r="Q52" s="657"/>
      <c r="R52" s="657"/>
      <c r="S52" s="657"/>
      <c r="T52" s="658"/>
      <c r="U52" s="435"/>
      <c r="V52" s="435"/>
      <c r="W52" s="435"/>
      <c r="X52" s="201" t="s">
        <v>494</v>
      </c>
      <c r="Y52" s="301">
        <v>0.2327115308614556</v>
      </c>
      <c r="Z52" s="301">
        <v>0.40856203182870365</v>
      </c>
      <c r="AA52" s="301">
        <v>0.58249493630952376</v>
      </c>
      <c r="AB52" s="301">
        <v>0.74304199720492636</v>
      </c>
      <c r="AC52" s="301">
        <v>0.91206257563956428</v>
      </c>
      <c r="AD52" s="244" t="s">
        <v>406</v>
      </c>
      <c r="AF52" s="222">
        <f t="shared" si="20"/>
        <v>0</v>
      </c>
      <c r="AG52" s="222" t="str">
        <f t="shared" si="21"/>
        <v/>
      </c>
      <c r="AH52" s="197" t="e">
        <f t="shared" si="14"/>
        <v>#N/A</v>
      </c>
      <c r="AI52" s="197" t="e">
        <f t="shared" si="15"/>
        <v>#N/A</v>
      </c>
      <c r="AJ52" s="197" t="e">
        <f t="shared" si="16"/>
        <v>#N/A</v>
      </c>
      <c r="AK52" s="197" t="e">
        <f t="shared" si="17"/>
        <v>#N/A</v>
      </c>
      <c r="AL52" s="197" t="e">
        <f t="shared" si="18"/>
        <v>#N/A</v>
      </c>
      <c r="AM52" s="197" t="e">
        <f t="shared" si="19"/>
        <v>#N/A</v>
      </c>
      <c r="AN52" s="207" t="e">
        <f t="shared" si="22"/>
        <v>#VALUE!</v>
      </c>
      <c r="AO52" s="207" t="e">
        <f t="shared" si="26"/>
        <v>#VALUE!</v>
      </c>
      <c r="AP52" s="195" t="e">
        <f t="shared" si="23"/>
        <v>#VALUE!</v>
      </c>
      <c r="AQ52" s="195" t="e">
        <f t="shared" si="24"/>
        <v>#VALUE!</v>
      </c>
      <c r="AR52" s="296" t="e">
        <f t="shared" si="25"/>
        <v>#VALUE!</v>
      </c>
    </row>
    <row r="53" spans="1:44" ht="18.75" customHeight="1" x14ac:dyDescent="0.3">
      <c r="A53" s="435"/>
      <c r="B53" s="435"/>
      <c r="C53" s="435"/>
      <c r="D53" s="289"/>
      <c r="E53" s="290"/>
      <c r="F53" s="293"/>
      <c r="G53" s="295"/>
      <c r="H53" s="292"/>
      <c r="I53" s="299" t="str">
        <f t="shared" si="11"/>
        <v/>
      </c>
      <c r="J53" s="318" t="str">
        <f t="shared" si="12"/>
        <v/>
      </c>
      <c r="K53" s="651" t="str">
        <f t="shared" si="13"/>
        <v/>
      </c>
      <c r="L53" s="652"/>
      <c r="M53" s="435"/>
      <c r="N53" s="481"/>
      <c r="O53" s="657"/>
      <c r="P53" s="657"/>
      <c r="Q53" s="657"/>
      <c r="R53" s="657"/>
      <c r="S53" s="657"/>
      <c r="T53" s="658"/>
      <c r="U53" s="435"/>
      <c r="V53" s="435"/>
      <c r="W53" s="435"/>
      <c r="X53" s="201" t="s">
        <v>495</v>
      </c>
      <c r="Y53" s="301">
        <v>0.32827964901620366</v>
      </c>
      <c r="Z53" s="301">
        <v>0.53815745067959075</v>
      </c>
      <c r="AA53" s="301">
        <v>0.69121584652967782</v>
      </c>
      <c r="AB53" s="301">
        <v>0.80641848761795754</v>
      </c>
      <c r="AC53" s="301">
        <v>0.92162112870623725</v>
      </c>
      <c r="AD53" s="244" t="s">
        <v>406</v>
      </c>
      <c r="AF53" s="222">
        <f t="shared" si="20"/>
        <v>0</v>
      </c>
      <c r="AG53" s="222" t="str">
        <f t="shared" si="21"/>
        <v/>
      </c>
      <c r="AH53" s="197" t="e">
        <f t="shared" si="14"/>
        <v>#N/A</v>
      </c>
      <c r="AI53" s="197" t="e">
        <f t="shared" si="15"/>
        <v>#N/A</v>
      </c>
      <c r="AJ53" s="197" t="e">
        <f t="shared" si="16"/>
        <v>#N/A</v>
      </c>
      <c r="AK53" s="197" t="e">
        <f t="shared" si="17"/>
        <v>#N/A</v>
      </c>
      <c r="AL53" s="197" t="e">
        <f t="shared" si="18"/>
        <v>#N/A</v>
      </c>
      <c r="AM53" s="197" t="e">
        <f t="shared" si="19"/>
        <v>#N/A</v>
      </c>
      <c r="AN53" s="207" t="e">
        <f t="shared" si="22"/>
        <v>#VALUE!</v>
      </c>
      <c r="AO53" s="207" t="e">
        <f t="shared" si="26"/>
        <v>#VALUE!</v>
      </c>
      <c r="AP53" s="195" t="e">
        <f t="shared" si="23"/>
        <v>#VALUE!</v>
      </c>
      <c r="AQ53" s="195" t="e">
        <f t="shared" si="24"/>
        <v>#VALUE!</v>
      </c>
      <c r="AR53" s="296" t="e">
        <f t="shared" si="25"/>
        <v>#VALUE!</v>
      </c>
    </row>
    <row r="54" spans="1:44" ht="16.5" customHeight="1" thickBot="1" x14ac:dyDescent="0.35">
      <c r="A54" s="435"/>
      <c r="B54" s="435"/>
      <c r="C54" s="435"/>
      <c r="D54" s="289"/>
      <c r="E54" s="290"/>
      <c r="F54" s="293"/>
      <c r="G54" s="295"/>
      <c r="H54" s="292"/>
      <c r="I54" s="299" t="str">
        <f t="shared" si="11"/>
        <v/>
      </c>
      <c r="J54" s="318" t="str">
        <f t="shared" si="12"/>
        <v/>
      </c>
      <c r="K54" s="651" t="str">
        <f t="shared" si="13"/>
        <v/>
      </c>
      <c r="L54" s="652"/>
      <c r="M54" s="435"/>
      <c r="N54" s="494"/>
      <c r="O54" s="659"/>
      <c r="P54" s="659"/>
      <c r="Q54" s="659"/>
      <c r="R54" s="659"/>
      <c r="S54" s="659"/>
      <c r="T54" s="660"/>
      <c r="U54" s="435"/>
      <c r="V54" s="435"/>
      <c r="W54" s="435"/>
      <c r="X54" s="325" t="s">
        <v>512</v>
      </c>
      <c r="Y54" s="326">
        <v>0.45319181929410285</v>
      </c>
      <c r="Z54" s="326">
        <v>0.70813789029163388</v>
      </c>
      <c r="AA54" s="326">
        <v>0.96540466362171351</v>
      </c>
      <c r="AB54" s="326">
        <v>1.2081577935327699</v>
      </c>
      <c r="AC54" s="326">
        <v>1.4299604891476971</v>
      </c>
      <c r="AD54" s="519" t="s">
        <v>513</v>
      </c>
      <c r="AF54" s="222">
        <f t="shared" si="20"/>
        <v>0</v>
      </c>
      <c r="AG54" s="222" t="str">
        <f t="shared" si="21"/>
        <v/>
      </c>
      <c r="AH54" s="197" t="e">
        <f t="shared" si="14"/>
        <v>#N/A</v>
      </c>
      <c r="AI54" s="197" t="e">
        <f t="shared" si="15"/>
        <v>#N/A</v>
      </c>
      <c r="AJ54" s="197" t="e">
        <f t="shared" si="16"/>
        <v>#N/A</v>
      </c>
      <c r="AK54" s="197" t="e">
        <f t="shared" si="17"/>
        <v>#N/A</v>
      </c>
      <c r="AL54" s="197" t="e">
        <f t="shared" si="18"/>
        <v>#N/A</v>
      </c>
      <c r="AM54" s="197" t="e">
        <f t="shared" si="19"/>
        <v>#N/A</v>
      </c>
      <c r="AN54" s="207" t="e">
        <f t="shared" si="22"/>
        <v>#VALUE!</v>
      </c>
      <c r="AO54" s="207" t="e">
        <f t="shared" si="26"/>
        <v>#VALUE!</v>
      </c>
      <c r="AP54" s="195" t="e">
        <f t="shared" si="23"/>
        <v>#VALUE!</v>
      </c>
      <c r="AQ54" s="195" t="e">
        <f t="shared" si="24"/>
        <v>#VALUE!</v>
      </c>
      <c r="AR54" s="296" t="e">
        <f t="shared" si="25"/>
        <v>#VALUE!</v>
      </c>
    </row>
    <row r="55" spans="1:44" ht="16.5" customHeight="1" x14ac:dyDescent="0.3">
      <c r="A55" s="435"/>
      <c r="B55" s="435"/>
      <c r="C55" s="435"/>
      <c r="D55" s="289"/>
      <c r="E55" s="290"/>
      <c r="F55" s="293"/>
      <c r="G55" s="295"/>
      <c r="H55" s="292"/>
      <c r="I55" s="299" t="str">
        <f t="shared" si="11"/>
        <v/>
      </c>
      <c r="J55" s="318" t="str">
        <f t="shared" si="12"/>
        <v/>
      </c>
      <c r="K55" s="651" t="str">
        <f t="shared" si="13"/>
        <v/>
      </c>
      <c r="L55" s="652"/>
      <c r="M55" s="435"/>
      <c r="N55" s="435"/>
      <c r="O55" s="435"/>
      <c r="P55" s="435"/>
      <c r="Q55" s="435"/>
      <c r="R55" s="435"/>
      <c r="S55" s="435"/>
      <c r="T55" s="435"/>
      <c r="U55" s="435"/>
      <c r="V55" s="435"/>
      <c r="W55" s="435"/>
      <c r="X55" s="201" t="s">
        <v>277</v>
      </c>
      <c r="Y55" s="301">
        <v>0.11982849020241199</v>
      </c>
      <c r="Z55" s="301">
        <v>0.14978561275301497</v>
      </c>
      <c r="AA55" s="301">
        <v>0.17974273530361798</v>
      </c>
      <c r="AB55" s="301">
        <v>0.26196202857543643</v>
      </c>
      <c r="AC55" s="301">
        <v>0.35801687535521448</v>
      </c>
      <c r="AD55" s="244" t="s">
        <v>406</v>
      </c>
      <c r="AF55" s="222">
        <f t="shared" si="20"/>
        <v>0</v>
      </c>
      <c r="AG55" s="222" t="str">
        <f t="shared" si="21"/>
        <v/>
      </c>
      <c r="AH55" s="197" t="e">
        <f t="shared" si="14"/>
        <v>#N/A</v>
      </c>
      <c r="AI55" s="197" t="e">
        <f t="shared" si="15"/>
        <v>#N/A</v>
      </c>
      <c r="AJ55" s="197" t="e">
        <f t="shared" si="16"/>
        <v>#N/A</v>
      </c>
      <c r="AK55" s="197" t="e">
        <f t="shared" si="17"/>
        <v>#N/A</v>
      </c>
      <c r="AL55" s="197" t="e">
        <f t="shared" si="18"/>
        <v>#N/A</v>
      </c>
      <c r="AM55" s="197" t="e">
        <f t="shared" si="19"/>
        <v>#N/A</v>
      </c>
      <c r="AN55" s="207" t="e">
        <f t="shared" si="22"/>
        <v>#VALUE!</v>
      </c>
      <c r="AO55" s="207" t="e">
        <f t="shared" si="26"/>
        <v>#VALUE!</v>
      </c>
      <c r="AP55" s="195" t="e">
        <f t="shared" si="23"/>
        <v>#VALUE!</v>
      </c>
      <c r="AQ55" s="195" t="e">
        <f t="shared" si="24"/>
        <v>#VALUE!</v>
      </c>
      <c r="AR55" s="296" t="e">
        <f t="shared" si="25"/>
        <v>#VALUE!</v>
      </c>
    </row>
    <row r="56" spans="1:44" ht="16.5" customHeight="1" x14ac:dyDescent="0.3">
      <c r="A56" s="435"/>
      <c r="B56" s="435"/>
      <c r="C56" s="435"/>
      <c r="D56" s="289"/>
      <c r="E56" s="290"/>
      <c r="F56" s="293"/>
      <c r="G56" s="295"/>
      <c r="H56" s="292"/>
      <c r="I56" s="299" t="str">
        <f t="shared" si="11"/>
        <v/>
      </c>
      <c r="J56" s="318" t="str">
        <f t="shared" si="12"/>
        <v/>
      </c>
      <c r="K56" s="651" t="str">
        <f t="shared" si="13"/>
        <v/>
      </c>
      <c r="L56" s="652"/>
      <c r="M56" s="435"/>
      <c r="N56" s="435"/>
      <c r="O56" s="435"/>
      <c r="P56" s="435"/>
      <c r="Q56" s="435"/>
      <c r="R56" s="435"/>
      <c r="S56" s="435"/>
      <c r="T56" s="435"/>
      <c r="U56" s="435"/>
      <c r="V56" s="435"/>
      <c r="W56" s="435"/>
      <c r="X56" s="201" t="s">
        <v>135</v>
      </c>
      <c r="Y56" s="301">
        <v>2.2564090284982921E-2</v>
      </c>
      <c r="Z56" s="301">
        <v>2.8205112856228648E-2</v>
      </c>
      <c r="AA56" s="301">
        <v>3.3846135427474382E-2</v>
      </c>
      <c r="AB56" s="301">
        <v>7.9542600800647137E-2</v>
      </c>
      <c r="AC56" s="301">
        <v>9.0905829486453871E-2</v>
      </c>
      <c r="AD56" s="244" t="s">
        <v>404</v>
      </c>
      <c r="AF56" s="222">
        <f t="shared" si="20"/>
        <v>0</v>
      </c>
      <c r="AG56" s="222" t="str">
        <f t="shared" si="21"/>
        <v/>
      </c>
      <c r="AH56" s="197" t="e">
        <f t="shared" si="14"/>
        <v>#N/A</v>
      </c>
      <c r="AI56" s="197" t="e">
        <f t="shared" si="15"/>
        <v>#N/A</v>
      </c>
      <c r="AJ56" s="197" t="e">
        <f t="shared" si="16"/>
        <v>#N/A</v>
      </c>
      <c r="AK56" s="197" t="e">
        <f t="shared" si="17"/>
        <v>#N/A</v>
      </c>
      <c r="AL56" s="197" t="e">
        <f t="shared" si="18"/>
        <v>#N/A</v>
      </c>
      <c r="AM56" s="197" t="e">
        <f t="shared" si="19"/>
        <v>#N/A</v>
      </c>
      <c r="AN56" s="207" t="e">
        <f t="shared" si="22"/>
        <v>#VALUE!</v>
      </c>
      <c r="AO56" s="207" t="e">
        <f t="shared" si="26"/>
        <v>#VALUE!</v>
      </c>
      <c r="AP56" s="195" t="e">
        <f t="shared" si="23"/>
        <v>#VALUE!</v>
      </c>
      <c r="AQ56" s="195" t="e">
        <f t="shared" si="24"/>
        <v>#VALUE!</v>
      </c>
      <c r="AR56" s="296" t="e">
        <f t="shared" si="25"/>
        <v>#VALUE!</v>
      </c>
    </row>
    <row r="57" spans="1:44" ht="16.5" customHeight="1" x14ac:dyDescent="0.3">
      <c r="A57" s="435"/>
      <c r="B57" s="435"/>
      <c r="C57" s="435"/>
      <c r="D57" s="289"/>
      <c r="E57" s="290"/>
      <c r="F57" s="293"/>
      <c r="G57" s="295"/>
      <c r="H57" s="292"/>
      <c r="I57" s="299" t="str">
        <f t="shared" si="11"/>
        <v/>
      </c>
      <c r="J57" s="318" t="str">
        <f t="shared" si="12"/>
        <v/>
      </c>
      <c r="K57" s="651" t="str">
        <f t="shared" si="13"/>
        <v/>
      </c>
      <c r="L57" s="652"/>
      <c r="M57" s="435"/>
      <c r="N57" s="435"/>
      <c r="O57" s="435"/>
      <c r="P57" s="435"/>
      <c r="Q57" s="435"/>
      <c r="R57" s="435"/>
      <c r="S57" s="435"/>
      <c r="T57" s="435"/>
      <c r="U57" s="435"/>
      <c r="V57" s="435"/>
      <c r="W57" s="435"/>
      <c r="X57" s="201" t="s">
        <v>46</v>
      </c>
      <c r="Y57" s="301">
        <v>5.5735242101476262E-2</v>
      </c>
      <c r="Z57" s="301">
        <v>9.7053556441893188E-2</v>
      </c>
      <c r="AA57" s="301">
        <v>0.16760700183877539</v>
      </c>
      <c r="AB57" s="301">
        <v>0.19554150214523794</v>
      </c>
      <c r="AC57" s="301">
        <v>0.29288141063309686</v>
      </c>
      <c r="AD57" s="244" t="s">
        <v>404</v>
      </c>
      <c r="AF57" s="222">
        <f t="shared" si="20"/>
        <v>0</v>
      </c>
      <c r="AG57" s="222" t="str">
        <f t="shared" si="21"/>
        <v/>
      </c>
      <c r="AH57" s="197" t="e">
        <f t="shared" si="14"/>
        <v>#N/A</v>
      </c>
      <c r="AI57" s="197" t="e">
        <f t="shared" si="15"/>
        <v>#N/A</v>
      </c>
      <c r="AJ57" s="197" t="e">
        <f t="shared" si="16"/>
        <v>#N/A</v>
      </c>
      <c r="AK57" s="197" t="e">
        <f t="shared" si="17"/>
        <v>#N/A</v>
      </c>
      <c r="AL57" s="197" t="e">
        <f t="shared" si="18"/>
        <v>#N/A</v>
      </c>
      <c r="AM57" s="197" t="e">
        <f t="shared" si="19"/>
        <v>#N/A</v>
      </c>
      <c r="AN57" s="207" t="e">
        <f t="shared" si="22"/>
        <v>#VALUE!</v>
      </c>
      <c r="AO57" s="207" t="e">
        <f t="shared" si="26"/>
        <v>#VALUE!</v>
      </c>
      <c r="AP57" s="195" t="e">
        <f t="shared" si="23"/>
        <v>#VALUE!</v>
      </c>
      <c r="AQ57" s="195" t="e">
        <f t="shared" si="24"/>
        <v>#VALUE!</v>
      </c>
      <c r="AR57" s="296" t="e">
        <f t="shared" si="25"/>
        <v>#VALUE!</v>
      </c>
    </row>
    <row r="58" spans="1:44" ht="16.5" customHeight="1" x14ac:dyDescent="0.3">
      <c r="A58" s="435"/>
      <c r="B58" s="435"/>
      <c r="C58" s="435"/>
      <c r="D58" s="435"/>
      <c r="E58" s="435"/>
      <c r="F58" s="435"/>
      <c r="G58" s="435"/>
      <c r="H58" s="435"/>
      <c r="I58" s="435"/>
      <c r="J58" s="435"/>
      <c r="K58" s="435"/>
      <c r="L58" s="435"/>
      <c r="M58" s="435"/>
      <c r="N58" s="435"/>
      <c r="O58" s="435"/>
      <c r="P58" s="435"/>
      <c r="Q58" s="435"/>
      <c r="R58" s="435"/>
      <c r="S58" s="435"/>
      <c r="T58" s="435"/>
      <c r="U58" s="435"/>
      <c r="V58" s="435"/>
      <c r="W58" s="435"/>
      <c r="X58" s="201" t="s">
        <v>47</v>
      </c>
      <c r="Y58" s="301">
        <v>0.4564333244723322</v>
      </c>
      <c r="Z58" s="301">
        <v>0.78694276633853766</v>
      </c>
      <c r="AA58" s="301">
        <v>1.1651157738742044</v>
      </c>
      <c r="AB58" s="301">
        <v>1.5580231120134596</v>
      </c>
      <c r="AC58" s="301">
        <v>1.7805978423010973</v>
      </c>
      <c r="AD58" s="244" t="s">
        <v>406</v>
      </c>
      <c r="AF58" s="222">
        <f t="shared" si="20"/>
        <v>0</v>
      </c>
      <c r="AG58" s="222" t="str">
        <f t="shared" si="21"/>
        <v/>
      </c>
      <c r="AH58" s="197" t="e">
        <f t="shared" si="14"/>
        <v>#N/A</v>
      </c>
      <c r="AI58" s="197" t="e">
        <f t="shared" si="15"/>
        <v>#N/A</v>
      </c>
      <c r="AJ58" s="197" t="e">
        <f t="shared" si="16"/>
        <v>#N/A</v>
      </c>
      <c r="AK58" s="197" t="e">
        <f t="shared" si="17"/>
        <v>#N/A</v>
      </c>
      <c r="AL58" s="197" t="e">
        <f t="shared" si="18"/>
        <v>#N/A</v>
      </c>
      <c r="AM58" s="197" t="e">
        <f t="shared" si="19"/>
        <v>#N/A</v>
      </c>
      <c r="AN58" s="207" t="e">
        <f t="shared" si="22"/>
        <v>#VALUE!</v>
      </c>
      <c r="AO58" s="207" t="e">
        <f t="shared" si="26"/>
        <v>#VALUE!</v>
      </c>
      <c r="AP58" s="195" t="e">
        <f t="shared" si="23"/>
        <v>#VALUE!</v>
      </c>
      <c r="AQ58" s="195" t="e">
        <f t="shared" si="24"/>
        <v>#VALUE!</v>
      </c>
      <c r="AR58" s="296" t="e">
        <f t="shared" si="25"/>
        <v>#VALUE!</v>
      </c>
    </row>
    <row r="59" spans="1:44" ht="16.5" customHeight="1" thickBot="1" x14ac:dyDescent="0.35">
      <c r="A59" s="435"/>
      <c r="B59" s="435"/>
      <c r="C59" s="435"/>
      <c r="D59" s="435"/>
      <c r="E59" s="435"/>
      <c r="F59" s="435"/>
      <c r="G59" s="435"/>
      <c r="H59" s="435"/>
      <c r="I59" s="435"/>
      <c r="J59" s="435"/>
      <c r="K59" s="435"/>
      <c r="L59" s="435"/>
      <c r="M59" s="435"/>
      <c r="N59" s="435"/>
      <c r="O59" s="435"/>
      <c r="P59" s="435"/>
      <c r="Q59" s="435"/>
      <c r="R59" s="435"/>
      <c r="S59" s="435"/>
      <c r="T59" s="435"/>
      <c r="U59" s="435"/>
      <c r="V59" s="435"/>
      <c r="W59" s="435"/>
      <c r="X59" s="325" t="s">
        <v>510</v>
      </c>
      <c r="Y59" s="326">
        <v>0.471671845842974</v>
      </c>
      <c r="Z59" s="326">
        <v>0.72537155475268877</v>
      </c>
      <c r="AA59" s="326">
        <v>1.0360680060461656</v>
      </c>
      <c r="AB59" s="326">
        <v>1.4324170333184929</v>
      </c>
      <c r="AC59" s="326">
        <v>1.9596838738679789</v>
      </c>
      <c r="AD59" s="519" t="s">
        <v>506</v>
      </c>
    </row>
    <row r="60" spans="1:44" ht="16.5" customHeight="1" x14ac:dyDescent="0.3">
      <c r="A60" s="435"/>
      <c r="B60" s="435"/>
      <c r="C60" s="435"/>
      <c r="D60" s="637" t="s">
        <v>616</v>
      </c>
      <c r="E60" s="638"/>
      <c r="F60" s="638"/>
      <c r="G60" s="638"/>
      <c r="H60" s="639"/>
      <c r="I60" s="435"/>
      <c r="J60" s="435"/>
      <c r="K60" s="435"/>
      <c r="L60" s="435"/>
      <c r="M60" s="435"/>
      <c r="N60" s="435"/>
      <c r="O60" s="435"/>
      <c r="P60" s="435"/>
      <c r="Q60" s="435"/>
      <c r="R60" s="435"/>
      <c r="S60" s="435"/>
      <c r="T60" s="435"/>
      <c r="U60" s="435"/>
      <c r="V60" s="435"/>
      <c r="W60" s="435"/>
      <c r="X60" s="201" t="s">
        <v>279</v>
      </c>
      <c r="Y60" s="301">
        <v>2.0214699176883854E-2</v>
      </c>
      <c r="Z60" s="301">
        <v>5.0853708186201808E-2</v>
      </c>
      <c r="AA60" s="301">
        <v>6.102444982344217E-2</v>
      </c>
      <c r="AB60" s="301">
        <v>0.14704079816421481</v>
      </c>
      <c r="AC60" s="301">
        <v>0.16804662647338833</v>
      </c>
      <c r="AD60" s="244" t="s">
        <v>406</v>
      </c>
    </row>
    <row r="61" spans="1:44" ht="16.5" customHeight="1" x14ac:dyDescent="0.3">
      <c r="A61" s="435"/>
      <c r="B61" s="435"/>
      <c r="C61" s="435"/>
      <c r="D61" s="640"/>
      <c r="E61" s="641"/>
      <c r="F61" s="641"/>
      <c r="G61" s="641"/>
      <c r="H61" s="642"/>
      <c r="I61" s="435"/>
      <c r="J61" s="435"/>
      <c r="K61" s="435"/>
      <c r="L61" s="435"/>
      <c r="M61" s="435"/>
      <c r="N61" s="435"/>
      <c r="O61" s="435"/>
      <c r="P61" s="435"/>
      <c r="Q61" s="435"/>
      <c r="R61" s="435"/>
      <c r="S61" s="435"/>
      <c r="T61" s="435"/>
      <c r="U61" s="435"/>
      <c r="V61" s="435"/>
      <c r="W61" s="435"/>
      <c r="X61" s="201" t="s">
        <v>292</v>
      </c>
      <c r="Y61" s="301">
        <v>3.1639288306640985E-2</v>
      </c>
      <c r="Z61" s="301">
        <v>3.9549110383301236E-2</v>
      </c>
      <c r="AA61" s="301">
        <v>4.7458932459961474E-2</v>
      </c>
      <c r="AB61" s="301">
        <v>9.1964080011148003E-2</v>
      </c>
      <c r="AC61" s="301">
        <v>0.10795822541769297</v>
      </c>
      <c r="AD61" s="244" t="s">
        <v>406</v>
      </c>
    </row>
    <row r="62" spans="1:44" ht="16.5" customHeight="1" x14ac:dyDescent="0.3">
      <c r="A62" s="435"/>
      <c r="B62" s="435"/>
      <c r="C62" s="435"/>
      <c r="D62" s="640"/>
      <c r="E62" s="641"/>
      <c r="F62" s="641"/>
      <c r="G62" s="641"/>
      <c r="H62" s="642"/>
      <c r="I62" s="435"/>
      <c r="J62" s="435"/>
      <c r="K62" s="435"/>
      <c r="L62" s="435"/>
      <c r="M62" s="435"/>
      <c r="N62" s="435"/>
      <c r="O62" s="435"/>
      <c r="P62" s="435"/>
      <c r="Q62" s="435"/>
      <c r="R62" s="435"/>
      <c r="S62" s="435"/>
      <c r="T62" s="435"/>
      <c r="U62" s="435"/>
      <c r="V62" s="435"/>
      <c r="W62" s="435"/>
      <c r="X62" s="201" t="s">
        <v>278</v>
      </c>
      <c r="Y62" s="301">
        <v>4.3635426256541009E-2</v>
      </c>
      <c r="Z62" s="301">
        <v>5.4544282820676256E-2</v>
      </c>
      <c r="AA62" s="301">
        <v>6.545313938481151E-2</v>
      </c>
      <c r="AB62" s="301">
        <v>0.10950251840392226</v>
      </c>
      <c r="AC62" s="301">
        <v>0.16625264941496601</v>
      </c>
      <c r="AD62" s="244" t="s">
        <v>406</v>
      </c>
    </row>
    <row r="63" spans="1:44" ht="16.5" customHeight="1" x14ac:dyDescent="0.3">
      <c r="A63" s="435"/>
      <c r="B63" s="435"/>
      <c r="C63" s="435"/>
      <c r="D63" s="640"/>
      <c r="E63" s="641"/>
      <c r="F63" s="641"/>
      <c r="G63" s="641"/>
      <c r="H63" s="642"/>
      <c r="I63" s="435"/>
      <c r="J63" s="435"/>
      <c r="K63" s="435"/>
      <c r="L63" s="435"/>
      <c r="M63" s="435"/>
      <c r="N63" s="435"/>
      <c r="O63" s="435"/>
      <c r="P63" s="435"/>
      <c r="Q63" s="435"/>
      <c r="R63" s="435"/>
      <c r="S63" s="435"/>
      <c r="T63" s="435"/>
      <c r="U63" s="435"/>
      <c r="V63" s="435"/>
      <c r="W63" s="435"/>
      <c r="X63" s="201" t="s">
        <v>382</v>
      </c>
      <c r="Y63" s="301">
        <v>3.1829804580021943E-2</v>
      </c>
      <c r="Z63" s="301">
        <v>4.8315700463393098E-2</v>
      </c>
      <c r="AA63" s="301">
        <v>5.797884055607172E-2</v>
      </c>
      <c r="AB63" s="301">
        <v>0.11616913219309503</v>
      </c>
      <c r="AC63" s="301">
        <v>0.14741916710201577</v>
      </c>
      <c r="AD63" s="244" t="s">
        <v>404</v>
      </c>
    </row>
    <row r="64" spans="1:44" ht="16.5" customHeight="1" x14ac:dyDescent="0.3">
      <c r="A64" s="435"/>
      <c r="B64" s="435"/>
      <c r="C64" s="435"/>
      <c r="D64" s="640"/>
      <c r="E64" s="641"/>
      <c r="F64" s="641"/>
      <c r="G64" s="641"/>
      <c r="H64" s="642"/>
      <c r="I64" s="435"/>
      <c r="J64" s="435"/>
      <c r="K64" s="435"/>
      <c r="L64" s="435"/>
      <c r="M64" s="435"/>
      <c r="N64" s="435"/>
      <c r="O64" s="435"/>
      <c r="P64" s="435"/>
      <c r="Q64" s="435"/>
      <c r="R64" s="435"/>
      <c r="S64" s="435"/>
      <c r="T64" s="435"/>
      <c r="U64" s="435"/>
      <c r="V64" s="435"/>
      <c r="W64" s="435"/>
      <c r="X64" s="516" t="s">
        <v>635</v>
      </c>
      <c r="Y64" s="518">
        <v>0.17179686190535912</v>
      </c>
      <c r="Z64" s="518">
        <v>0.30162223533863614</v>
      </c>
      <c r="AA64" s="518">
        <v>0.4564704458343436</v>
      </c>
      <c r="AB64" s="518">
        <v>0.63729067479084789</v>
      </c>
      <c r="AC64" s="518">
        <v>0.8487901654438309</v>
      </c>
      <c r="AD64" s="520" t="s">
        <v>636</v>
      </c>
    </row>
    <row r="65" spans="1:30" ht="16.5" customHeight="1" x14ac:dyDescent="0.3">
      <c r="A65" s="435"/>
      <c r="B65" s="435"/>
      <c r="C65" s="435"/>
      <c r="D65" s="640"/>
      <c r="E65" s="641"/>
      <c r="F65" s="641"/>
      <c r="G65" s="641"/>
      <c r="H65" s="642"/>
      <c r="I65" s="435"/>
      <c r="J65" s="435"/>
      <c r="K65" s="435"/>
      <c r="L65" s="435"/>
      <c r="M65" s="435"/>
      <c r="N65" s="435"/>
      <c r="O65" s="435"/>
      <c r="P65" s="435"/>
      <c r="Q65" s="435"/>
      <c r="R65" s="435"/>
      <c r="S65" s="435"/>
      <c r="T65" s="435"/>
      <c r="U65" s="435"/>
      <c r="V65" s="435"/>
      <c r="W65" s="435"/>
      <c r="X65" s="201" t="s">
        <v>49</v>
      </c>
      <c r="Y65" s="301">
        <v>3.6603166366973285E-2</v>
      </c>
      <c r="Z65" s="301">
        <v>4.5753957958716604E-2</v>
      </c>
      <c r="AA65" s="301">
        <v>9.0140403287118462E-2</v>
      </c>
      <c r="AB65" s="301">
        <v>0.10516380383497152</v>
      </c>
      <c r="AC65" s="301">
        <v>0.12018720438282458</v>
      </c>
      <c r="AD65" s="244" t="s">
        <v>404</v>
      </c>
    </row>
    <row r="66" spans="1:30" ht="16.5" customHeight="1" x14ac:dyDescent="0.3">
      <c r="A66" s="435"/>
      <c r="B66" s="435"/>
      <c r="C66" s="435"/>
      <c r="D66" s="640"/>
      <c r="E66" s="641"/>
      <c r="F66" s="641"/>
      <c r="G66" s="641"/>
      <c r="H66" s="642"/>
      <c r="I66" s="435"/>
      <c r="J66" s="435"/>
      <c r="K66" s="435"/>
      <c r="L66" s="435"/>
      <c r="M66" s="435"/>
      <c r="N66" s="435"/>
      <c r="O66" s="435"/>
      <c r="P66" s="435"/>
      <c r="Q66" s="435"/>
      <c r="R66" s="435"/>
      <c r="S66" s="435"/>
      <c r="T66" s="435"/>
      <c r="U66" s="435"/>
      <c r="V66" s="435"/>
      <c r="W66" s="435"/>
      <c r="X66" s="201" t="s">
        <v>50</v>
      </c>
      <c r="Y66" s="301">
        <v>4.2905184381875593E-2</v>
      </c>
      <c r="Z66" s="301">
        <v>0.11203292161465764</v>
      </c>
      <c r="AA66" s="301">
        <v>0.20516585167863827</v>
      </c>
      <c r="AB66" s="301">
        <v>0.34790001540782683</v>
      </c>
      <c r="AC66" s="301">
        <v>0.39760001760894487</v>
      </c>
      <c r="AD66" s="244" t="s">
        <v>333</v>
      </c>
    </row>
    <row r="67" spans="1:30" ht="16.5" customHeight="1" x14ac:dyDescent="0.3">
      <c r="A67" s="435"/>
      <c r="B67" s="435"/>
      <c r="C67" s="435"/>
      <c r="D67" s="640"/>
      <c r="E67" s="641"/>
      <c r="F67" s="641"/>
      <c r="G67" s="641"/>
      <c r="H67" s="642"/>
      <c r="I67" s="435"/>
      <c r="J67" s="435"/>
      <c r="K67" s="435"/>
      <c r="L67" s="435"/>
      <c r="M67" s="435"/>
      <c r="N67" s="435"/>
      <c r="O67" s="435"/>
      <c r="P67" s="435"/>
      <c r="Q67" s="435"/>
      <c r="R67" s="435"/>
      <c r="S67" s="435"/>
      <c r="T67" s="435"/>
      <c r="U67" s="435"/>
      <c r="V67" s="435"/>
      <c r="W67" s="435"/>
      <c r="X67" s="201" t="s">
        <v>51</v>
      </c>
      <c r="Y67" s="301">
        <v>0.20654286732427818</v>
      </c>
      <c r="Z67" s="301">
        <v>0.45940713286933604</v>
      </c>
      <c r="AA67" s="301">
        <v>0.67165279962424007</v>
      </c>
      <c r="AB67" s="301">
        <v>0.92277386354672075</v>
      </c>
      <c r="AC67" s="301">
        <v>1.2630946245650829</v>
      </c>
      <c r="AD67" s="244" t="s">
        <v>333</v>
      </c>
    </row>
    <row r="68" spans="1:30" ht="16.5" customHeight="1" x14ac:dyDescent="0.3">
      <c r="A68" s="435"/>
      <c r="B68" s="435"/>
      <c r="C68" s="435"/>
      <c r="D68" s="640"/>
      <c r="E68" s="641"/>
      <c r="F68" s="641"/>
      <c r="G68" s="641"/>
      <c r="H68" s="642"/>
      <c r="I68" s="435"/>
      <c r="J68" s="435"/>
      <c r="K68" s="435"/>
      <c r="L68" s="435"/>
      <c r="M68" s="435"/>
      <c r="N68" s="435"/>
      <c r="O68" s="435"/>
      <c r="P68" s="435"/>
      <c r="Q68" s="435"/>
      <c r="R68" s="435"/>
      <c r="S68" s="435"/>
      <c r="T68" s="435"/>
      <c r="U68" s="435"/>
      <c r="V68" s="435"/>
      <c r="W68" s="435"/>
      <c r="X68" s="201" t="s">
        <v>108</v>
      </c>
      <c r="Y68" s="301">
        <v>0.20654286732427818</v>
      </c>
      <c r="Z68" s="301">
        <v>0.45940713286933604</v>
      </c>
      <c r="AA68" s="301">
        <v>0.67165279962424007</v>
      </c>
      <c r="AB68" s="301">
        <v>0.92277386354672075</v>
      </c>
      <c r="AC68" s="301">
        <v>1.2630946245650829</v>
      </c>
      <c r="AD68" s="244" t="s">
        <v>405</v>
      </c>
    </row>
    <row r="69" spans="1:30" ht="16.5" customHeight="1" thickBot="1" x14ac:dyDescent="0.35">
      <c r="A69" s="435"/>
      <c r="B69" s="435"/>
      <c r="C69" s="435"/>
      <c r="D69" s="643"/>
      <c r="E69" s="644"/>
      <c r="F69" s="644"/>
      <c r="G69" s="644"/>
      <c r="H69" s="645"/>
      <c r="I69" s="435"/>
      <c r="J69" s="435"/>
      <c r="K69" s="435"/>
      <c r="L69" s="435"/>
      <c r="M69" s="435"/>
      <c r="N69" s="435"/>
      <c r="O69" s="435"/>
      <c r="P69" s="435"/>
      <c r="Q69" s="435"/>
      <c r="R69" s="435"/>
      <c r="S69" s="435"/>
      <c r="T69" s="435"/>
      <c r="U69" s="435"/>
      <c r="V69" s="435"/>
      <c r="W69" s="435"/>
      <c r="X69" s="201" t="s">
        <v>52</v>
      </c>
      <c r="Y69" s="301">
        <v>0.28554224648832599</v>
      </c>
      <c r="Z69" s="301">
        <v>0.72002933854517226</v>
      </c>
      <c r="AA69" s="301">
        <v>1.0064449533150317</v>
      </c>
      <c r="AB69" s="301">
        <v>1.44499968749023</v>
      </c>
      <c r="AC69" s="301">
        <v>1.8956012546262551</v>
      </c>
      <c r="AD69" s="244" t="s">
        <v>405</v>
      </c>
    </row>
    <row r="70" spans="1:30" ht="16.5" customHeight="1" x14ac:dyDescent="0.3">
      <c r="A70" s="435"/>
      <c r="B70" s="435"/>
      <c r="C70" s="435"/>
      <c r="D70" s="435"/>
      <c r="E70" s="435"/>
      <c r="F70" s="435"/>
      <c r="G70" s="435"/>
      <c r="H70" s="435"/>
      <c r="I70" s="435"/>
      <c r="J70" s="435"/>
      <c r="K70" s="435"/>
      <c r="L70" s="435"/>
      <c r="M70" s="435"/>
      <c r="N70" s="435"/>
      <c r="O70" s="435"/>
      <c r="P70" s="435"/>
      <c r="Q70" s="435"/>
      <c r="R70" s="435"/>
      <c r="S70" s="435"/>
      <c r="T70" s="435"/>
      <c r="U70" s="435"/>
      <c r="V70" s="435"/>
      <c r="W70" s="435"/>
      <c r="X70" s="201" t="s">
        <v>194</v>
      </c>
      <c r="Y70" s="301">
        <v>0.33838309337864286</v>
      </c>
      <c r="Z70" s="301">
        <v>0.80520818838555264</v>
      </c>
      <c r="AA70" s="301">
        <v>1.1774018251252529</v>
      </c>
      <c r="AB70" s="301">
        <v>1.5544798963783533</v>
      </c>
      <c r="AC70" s="301">
        <v>2.0237169627228608</v>
      </c>
      <c r="AD70" s="244" t="s">
        <v>405</v>
      </c>
    </row>
    <row r="71" spans="1:30" ht="16.5" customHeight="1" x14ac:dyDescent="0.3">
      <c r="A71" s="435"/>
      <c r="B71" s="435"/>
      <c r="C71" s="435"/>
      <c r="D71" s="435"/>
      <c r="E71" s="435"/>
      <c r="F71" s="435"/>
      <c r="G71" s="435"/>
      <c r="H71" s="435"/>
      <c r="I71" s="435"/>
      <c r="J71" s="435"/>
      <c r="K71" s="435"/>
      <c r="L71" s="435"/>
      <c r="M71" s="435"/>
      <c r="N71" s="435"/>
      <c r="O71" s="435"/>
      <c r="P71" s="435"/>
      <c r="Q71" s="435"/>
      <c r="R71" s="435"/>
      <c r="S71" s="435"/>
      <c r="T71" s="435"/>
      <c r="U71" s="435"/>
      <c r="V71" s="435"/>
      <c r="W71" s="435"/>
      <c r="X71" s="201" t="s">
        <v>54</v>
      </c>
      <c r="Y71" s="301">
        <v>0.14975536130234138</v>
      </c>
      <c r="Z71" s="301">
        <v>0.18719420162792669</v>
      </c>
      <c r="AA71" s="301">
        <v>0.22463304195351205</v>
      </c>
      <c r="AB71" s="301">
        <v>0.26207188227909739</v>
      </c>
      <c r="AC71" s="301">
        <v>0.29951072260468276</v>
      </c>
      <c r="AD71" s="244" t="s">
        <v>333</v>
      </c>
    </row>
    <row r="72" spans="1:30" ht="16.5" customHeight="1" x14ac:dyDescent="0.3">
      <c r="A72" s="435"/>
      <c r="B72" s="435"/>
      <c r="C72" s="435"/>
      <c r="D72" s="435"/>
      <c r="E72" s="435"/>
      <c r="F72" s="435"/>
      <c r="G72" s="435"/>
      <c r="H72" s="435"/>
      <c r="I72" s="435"/>
      <c r="J72" s="435"/>
      <c r="K72" s="435"/>
      <c r="L72" s="435"/>
      <c r="M72" s="435"/>
      <c r="N72" s="435"/>
      <c r="O72" s="435"/>
      <c r="P72" s="435"/>
      <c r="Q72" s="435"/>
      <c r="R72" s="435"/>
      <c r="S72" s="435"/>
      <c r="T72" s="435"/>
      <c r="U72" s="435"/>
      <c r="V72" s="435"/>
      <c r="W72" s="435"/>
      <c r="X72" s="201" t="s">
        <v>195</v>
      </c>
      <c r="Y72" s="301">
        <v>0.34624258854033912</v>
      </c>
      <c r="Z72" s="301">
        <v>0.63416449134559993</v>
      </c>
      <c r="AA72" s="301">
        <v>1.2964681323565146</v>
      </c>
      <c r="AB72" s="301">
        <v>2.8776869027198626</v>
      </c>
      <c r="AC72" s="301">
        <v>3.4048640619376549</v>
      </c>
      <c r="AD72" s="244" t="s">
        <v>404</v>
      </c>
    </row>
    <row r="73" spans="1:30" ht="16.5" customHeight="1" x14ac:dyDescent="0.3">
      <c r="A73" s="435"/>
      <c r="B73" s="435"/>
      <c r="C73" s="435"/>
      <c r="D73" s="435"/>
      <c r="E73" s="435"/>
      <c r="F73" s="435"/>
      <c r="G73" s="435"/>
      <c r="H73" s="435"/>
      <c r="I73" s="435"/>
      <c r="J73" s="435"/>
      <c r="K73" s="435"/>
      <c r="L73" s="435"/>
      <c r="M73" s="435"/>
      <c r="N73" s="435"/>
      <c r="O73" s="435"/>
      <c r="P73" s="435"/>
      <c r="Q73" s="435"/>
      <c r="R73" s="435"/>
      <c r="S73" s="435"/>
      <c r="T73" s="435"/>
      <c r="U73" s="435"/>
      <c r="V73" s="435"/>
      <c r="W73" s="435"/>
      <c r="X73" s="516" t="s">
        <v>664</v>
      </c>
      <c r="Y73" s="518">
        <v>0.28696231432932034</v>
      </c>
      <c r="Z73" s="518">
        <v>0.56435693075606652</v>
      </c>
      <c r="AA73" s="518">
        <v>0.90441617455756129</v>
      </c>
      <c r="AB73" s="518">
        <v>1.2688654983048246</v>
      </c>
      <c r="AC73" s="518">
        <v>1.625754925958252</v>
      </c>
      <c r="AD73" s="520" t="s">
        <v>634</v>
      </c>
    </row>
    <row r="74" spans="1:30" ht="16.5" customHeight="1" x14ac:dyDescent="0.3">
      <c r="A74" s="435"/>
      <c r="B74" s="435"/>
      <c r="C74" s="435"/>
      <c r="D74" s="435"/>
      <c r="E74" s="435"/>
      <c r="F74" s="435"/>
      <c r="G74" s="435"/>
      <c r="H74" s="435"/>
      <c r="I74" s="435"/>
      <c r="J74" s="435"/>
      <c r="K74" s="435"/>
      <c r="L74" s="435"/>
      <c r="M74" s="435"/>
      <c r="N74" s="435"/>
      <c r="O74" s="435"/>
      <c r="P74" s="435"/>
      <c r="Q74" s="435"/>
      <c r="R74" s="435"/>
      <c r="S74" s="435"/>
      <c r="T74" s="435"/>
      <c r="U74" s="435"/>
      <c r="V74" s="435"/>
      <c r="W74" s="435"/>
      <c r="X74" s="201" t="s">
        <v>55</v>
      </c>
      <c r="Y74" s="301">
        <v>0.14975536130234138</v>
      </c>
      <c r="Z74" s="301">
        <v>0.18719420162792669</v>
      </c>
      <c r="AA74" s="301">
        <v>0.22463304195351205</v>
      </c>
      <c r="AB74" s="301">
        <v>0.26207188227909739</v>
      </c>
      <c r="AC74" s="301">
        <v>0.29951072260468276</v>
      </c>
      <c r="AD74" s="244" t="s">
        <v>333</v>
      </c>
    </row>
    <row r="75" spans="1:30" ht="16.5" customHeight="1" x14ac:dyDescent="0.3">
      <c r="A75" s="435"/>
      <c r="B75" s="435"/>
      <c r="C75" s="435"/>
      <c r="D75" s="435"/>
      <c r="E75" s="435"/>
      <c r="F75" s="435"/>
      <c r="G75" s="435"/>
      <c r="H75" s="435"/>
      <c r="I75" s="435"/>
      <c r="J75" s="435"/>
      <c r="K75" s="435"/>
      <c r="L75" s="435"/>
      <c r="M75" s="435"/>
      <c r="N75" s="435"/>
      <c r="O75" s="435"/>
      <c r="P75" s="435"/>
      <c r="Q75" s="435"/>
      <c r="R75" s="435"/>
      <c r="S75" s="435"/>
      <c r="T75" s="435"/>
      <c r="U75" s="435"/>
      <c r="V75" s="435"/>
      <c r="W75" s="435"/>
      <c r="X75" s="201" t="s">
        <v>165</v>
      </c>
      <c r="Y75" s="301">
        <v>4.8828839094095237E-2</v>
      </c>
      <c r="Z75" s="301">
        <v>6.1036048867619055E-2</v>
      </c>
      <c r="AA75" s="301">
        <v>0.12721465554673028</v>
      </c>
      <c r="AB75" s="301">
        <v>0.148417098137852</v>
      </c>
      <c r="AC75" s="301">
        <v>0.16961954072897373</v>
      </c>
      <c r="AD75" s="244" t="s">
        <v>405</v>
      </c>
    </row>
    <row r="76" spans="1:30" ht="16.5" customHeight="1" x14ac:dyDescent="0.3">
      <c r="A76" s="435"/>
      <c r="B76" s="435"/>
      <c r="C76" s="435"/>
      <c r="D76" s="435"/>
      <c r="E76" s="435"/>
      <c r="F76" s="435"/>
      <c r="G76" s="435"/>
      <c r="H76" s="435"/>
      <c r="I76" s="435"/>
      <c r="J76" s="435"/>
      <c r="K76" s="435"/>
      <c r="L76" s="435"/>
      <c r="M76" s="435"/>
      <c r="N76" s="435"/>
      <c r="O76" s="435"/>
      <c r="P76" s="435"/>
      <c r="Q76" s="435"/>
      <c r="R76" s="435"/>
      <c r="S76" s="435"/>
      <c r="T76" s="435"/>
      <c r="U76" s="435"/>
      <c r="V76" s="435"/>
      <c r="W76" s="435"/>
      <c r="X76" s="201" t="s">
        <v>57</v>
      </c>
      <c r="Y76" s="301">
        <v>4.1003485800888813E-2</v>
      </c>
      <c r="Z76" s="301">
        <v>5.1254357251111014E-2</v>
      </c>
      <c r="AA76" s="301">
        <v>9.7556673966789992E-2</v>
      </c>
      <c r="AB76" s="301">
        <v>0.11381611962792167</v>
      </c>
      <c r="AC76" s="301">
        <v>0.13007556528905334</v>
      </c>
      <c r="AD76" s="244" t="s">
        <v>405</v>
      </c>
    </row>
    <row r="77" spans="1:30" ht="16.5" customHeight="1" x14ac:dyDescent="0.3">
      <c r="A77" s="435"/>
      <c r="B77" s="435"/>
      <c r="C77" s="435"/>
      <c r="D77" s="435"/>
      <c r="E77" s="435"/>
      <c r="F77" s="435"/>
      <c r="G77" s="435"/>
      <c r="H77" s="435"/>
      <c r="I77" s="435"/>
      <c r="J77" s="435"/>
      <c r="K77" s="435"/>
      <c r="L77" s="435"/>
      <c r="M77" s="435"/>
      <c r="N77" s="435"/>
      <c r="O77" s="435"/>
      <c r="P77" s="435"/>
      <c r="Q77" s="435"/>
      <c r="R77" s="435"/>
      <c r="S77" s="435"/>
      <c r="T77" s="435"/>
      <c r="U77" s="435"/>
      <c r="V77" s="435"/>
      <c r="W77" s="435"/>
      <c r="X77" s="201" t="s">
        <v>58</v>
      </c>
      <c r="Y77" s="301">
        <v>4.8090381579979975E-2</v>
      </c>
      <c r="Z77" s="301">
        <v>6.0112976974974974E-2</v>
      </c>
      <c r="AA77" s="301">
        <v>7.2135572369969952E-2</v>
      </c>
      <c r="AB77" s="301">
        <v>8.4158167764964945E-2</v>
      </c>
      <c r="AC77" s="301">
        <v>9.6180763159959951E-2</v>
      </c>
      <c r="AD77" s="244" t="s">
        <v>413</v>
      </c>
    </row>
    <row r="78" spans="1:30" ht="16.5" customHeight="1" x14ac:dyDescent="0.3">
      <c r="A78" s="435"/>
      <c r="B78" s="435"/>
      <c r="C78" s="435"/>
      <c r="D78" s="435"/>
      <c r="E78" s="435"/>
      <c r="F78" s="435"/>
      <c r="G78" s="435"/>
      <c r="H78" s="435"/>
      <c r="I78" s="435"/>
      <c r="J78" s="435"/>
      <c r="K78" s="435"/>
      <c r="L78" s="435"/>
      <c r="M78" s="435"/>
      <c r="N78" s="435"/>
      <c r="O78" s="435"/>
      <c r="P78" s="435"/>
      <c r="Q78" s="435"/>
      <c r="R78" s="435"/>
      <c r="S78" s="435"/>
      <c r="T78" s="435"/>
      <c r="U78" s="435"/>
      <c r="V78" s="435"/>
      <c r="W78" s="435"/>
      <c r="X78" s="201" t="s">
        <v>59</v>
      </c>
      <c r="Y78" s="301">
        <v>5.5638922658708602E-2</v>
      </c>
      <c r="Z78" s="301">
        <v>6.9548653323385751E-2</v>
      </c>
      <c r="AA78" s="301">
        <v>0.17900063987112114</v>
      </c>
      <c r="AB78" s="301">
        <v>0.20883407984964134</v>
      </c>
      <c r="AC78" s="301">
        <v>0.23866751982816153</v>
      </c>
      <c r="AD78" s="244" t="s">
        <v>405</v>
      </c>
    </row>
    <row r="79" spans="1:30" ht="16.5" customHeight="1" x14ac:dyDescent="0.3">
      <c r="A79" s="435"/>
      <c r="B79" s="435"/>
      <c r="C79" s="435"/>
      <c r="D79" s="435"/>
      <c r="E79" s="435"/>
      <c r="F79" s="435"/>
      <c r="G79" s="435"/>
      <c r="H79" s="435"/>
      <c r="I79" s="435"/>
      <c r="J79" s="435"/>
      <c r="K79" s="435"/>
      <c r="L79" s="435"/>
      <c r="M79" s="435"/>
      <c r="N79" s="435"/>
      <c r="O79" s="435"/>
      <c r="P79" s="435"/>
      <c r="Q79" s="435"/>
      <c r="R79" s="435"/>
      <c r="S79" s="435"/>
      <c r="T79" s="435"/>
      <c r="U79" s="435"/>
      <c r="V79" s="435"/>
      <c r="W79" s="435"/>
      <c r="X79" s="201" t="s">
        <v>60</v>
      </c>
      <c r="Y79" s="301">
        <v>6.8552185747233832E-2</v>
      </c>
      <c r="Z79" s="301">
        <v>0.12296494917176243</v>
      </c>
      <c r="AA79" s="301">
        <v>0.14755793900611491</v>
      </c>
      <c r="AB79" s="301">
        <v>0.23083478214715636</v>
      </c>
      <c r="AC79" s="301">
        <v>0.26381117959675016</v>
      </c>
      <c r="AD79" s="244" t="s">
        <v>405</v>
      </c>
    </row>
    <row r="80" spans="1:30" ht="16.5" customHeight="1" x14ac:dyDescent="0.3">
      <c r="A80" s="435"/>
      <c r="B80" s="435"/>
      <c r="C80" s="435"/>
      <c r="D80" s="435"/>
      <c r="E80" s="435"/>
      <c r="F80" s="435"/>
      <c r="G80" s="435"/>
      <c r="H80" s="435"/>
      <c r="I80" s="435"/>
      <c r="J80" s="435"/>
      <c r="K80" s="435"/>
      <c r="L80" s="435"/>
      <c r="M80" s="435"/>
      <c r="N80" s="435"/>
      <c r="O80" s="435"/>
      <c r="P80" s="435"/>
      <c r="Q80" s="435"/>
      <c r="R80" s="435"/>
      <c r="S80" s="435"/>
      <c r="T80" s="435"/>
      <c r="U80" s="435"/>
      <c r="V80" s="435"/>
      <c r="W80" s="435"/>
      <c r="X80" s="201" t="s">
        <v>61</v>
      </c>
      <c r="Y80" s="301">
        <v>5.3290218724743897E-2</v>
      </c>
      <c r="Z80" s="301">
        <v>6.6612773405929887E-2</v>
      </c>
      <c r="AA80" s="301">
        <v>0.14793193211471187</v>
      </c>
      <c r="AB80" s="301">
        <v>0.17258725413383053</v>
      </c>
      <c r="AC80" s="301">
        <v>0.19724257615294916</v>
      </c>
      <c r="AD80" s="244" t="s">
        <v>405</v>
      </c>
    </row>
    <row r="81" spans="1:30" ht="16.5" customHeight="1" x14ac:dyDescent="0.3">
      <c r="A81" s="435"/>
      <c r="B81" s="435"/>
      <c r="C81" s="435"/>
      <c r="D81" s="435"/>
      <c r="E81" s="435"/>
      <c r="F81" s="435"/>
      <c r="G81" s="435"/>
      <c r="H81" s="435"/>
      <c r="I81" s="435"/>
      <c r="J81" s="435"/>
      <c r="K81" s="435"/>
      <c r="L81" s="435"/>
      <c r="M81" s="435"/>
      <c r="N81" s="435"/>
      <c r="O81" s="435"/>
      <c r="P81" s="435"/>
      <c r="Q81" s="435"/>
      <c r="R81" s="435"/>
      <c r="S81" s="435"/>
      <c r="T81" s="435"/>
      <c r="U81" s="435"/>
      <c r="V81" s="435"/>
      <c r="W81" s="435"/>
      <c r="X81" s="201" t="s">
        <v>62</v>
      </c>
      <c r="Y81" s="301">
        <v>7.0712917709178133E-2</v>
      </c>
      <c r="Z81" s="301">
        <v>0.16039138980188405</v>
      </c>
      <c r="AA81" s="301">
        <v>0.1924696677622609</v>
      </c>
      <c r="AB81" s="301">
        <v>0.2245479457226377</v>
      </c>
      <c r="AC81" s="301">
        <v>0.3391470055560048</v>
      </c>
      <c r="AD81" s="244" t="s">
        <v>405</v>
      </c>
    </row>
    <row r="82" spans="1:30" ht="16.5" customHeight="1" x14ac:dyDescent="0.3">
      <c r="A82" s="435"/>
      <c r="B82" s="435"/>
      <c r="C82" s="435"/>
      <c r="D82" s="435"/>
      <c r="E82" s="435"/>
      <c r="F82" s="435"/>
      <c r="G82" s="435"/>
      <c r="H82" s="435"/>
      <c r="I82" s="435"/>
      <c r="J82" s="435"/>
      <c r="K82" s="435"/>
      <c r="L82" s="435"/>
      <c r="M82" s="435"/>
      <c r="N82" s="435"/>
      <c r="O82" s="435"/>
      <c r="P82" s="435"/>
      <c r="Q82" s="435"/>
      <c r="R82" s="435"/>
      <c r="S82" s="435"/>
      <c r="T82" s="435"/>
      <c r="U82" s="435"/>
      <c r="V82" s="435"/>
      <c r="W82" s="435"/>
      <c r="X82" s="516" t="s">
        <v>638</v>
      </c>
      <c r="Y82" s="518">
        <v>0.12749051111262677</v>
      </c>
      <c r="Z82" s="518">
        <v>0.21779530685229784</v>
      </c>
      <c r="AA82" s="518">
        <v>0.3286848580184808</v>
      </c>
      <c r="AB82" s="518">
        <v>0.45751573519543265</v>
      </c>
      <c r="AC82" s="518">
        <v>0.60190920699628003</v>
      </c>
      <c r="AD82" s="520" t="s">
        <v>634</v>
      </c>
    </row>
    <row r="83" spans="1:30" ht="16.5" customHeight="1" x14ac:dyDescent="0.3">
      <c r="A83" s="435"/>
      <c r="B83" s="435"/>
      <c r="C83" s="435"/>
      <c r="D83" s="435"/>
      <c r="E83" s="435"/>
      <c r="F83" s="435"/>
      <c r="G83" s="435"/>
      <c r="H83" s="435"/>
      <c r="I83" s="435"/>
      <c r="J83" s="435"/>
      <c r="K83" s="435"/>
      <c r="L83" s="435"/>
      <c r="M83" s="435"/>
      <c r="N83" s="435"/>
      <c r="O83" s="435"/>
      <c r="P83" s="435"/>
      <c r="Q83" s="435"/>
      <c r="R83" s="435"/>
      <c r="S83" s="435"/>
      <c r="T83" s="435"/>
      <c r="U83" s="435"/>
      <c r="V83" s="435"/>
      <c r="W83" s="435"/>
      <c r="X83" s="201" t="s">
        <v>98</v>
      </c>
      <c r="Y83" s="301">
        <v>7.2189347795831374E-2</v>
      </c>
      <c r="Z83" s="301">
        <v>0.18461714815369659</v>
      </c>
      <c r="AA83" s="301">
        <v>0.22154057778443589</v>
      </c>
      <c r="AB83" s="301">
        <v>0.34725191193922511</v>
      </c>
      <c r="AC83" s="301">
        <v>0.39685932793054296</v>
      </c>
      <c r="AD83" s="244" t="s">
        <v>405</v>
      </c>
    </row>
    <row r="84" spans="1:30" ht="16.5" customHeight="1" x14ac:dyDescent="0.3">
      <c r="A84" s="435"/>
      <c r="B84" s="435"/>
      <c r="C84" s="435"/>
      <c r="D84" s="435"/>
      <c r="E84" s="435"/>
      <c r="F84" s="435"/>
      <c r="G84" s="435"/>
      <c r="H84" s="435"/>
      <c r="I84" s="435"/>
      <c r="J84" s="435"/>
      <c r="K84" s="435"/>
      <c r="L84" s="435"/>
      <c r="M84" s="435"/>
      <c r="N84" s="435"/>
      <c r="O84" s="435"/>
      <c r="P84" s="435"/>
      <c r="Q84" s="435"/>
      <c r="R84" s="435"/>
      <c r="S84" s="435"/>
      <c r="T84" s="435"/>
      <c r="U84" s="435"/>
      <c r="V84" s="435"/>
      <c r="W84" s="435"/>
      <c r="X84" s="201" t="s">
        <v>104</v>
      </c>
      <c r="Y84" s="301">
        <v>7.411115835844527E-2</v>
      </c>
      <c r="Z84" s="301">
        <v>9.2638947948056591E-2</v>
      </c>
      <c r="AA84" s="301">
        <v>0.11116673753766791</v>
      </c>
      <c r="AB84" s="301">
        <v>0.12969452712727922</v>
      </c>
      <c r="AC84" s="301">
        <v>0.14822231671689054</v>
      </c>
      <c r="AD84" s="244" t="s">
        <v>413</v>
      </c>
    </row>
    <row r="85" spans="1:30" ht="16.5" customHeight="1" x14ac:dyDescent="0.3">
      <c r="A85" s="435"/>
      <c r="B85" s="435"/>
      <c r="C85" s="435"/>
      <c r="D85" s="435"/>
      <c r="E85" s="435"/>
      <c r="F85" s="435"/>
      <c r="G85" s="435"/>
      <c r="H85" s="435"/>
      <c r="I85" s="435"/>
      <c r="J85" s="435"/>
      <c r="K85" s="435"/>
      <c r="L85" s="435"/>
      <c r="M85" s="435"/>
      <c r="N85" s="435"/>
      <c r="O85" s="435"/>
      <c r="P85" s="435"/>
      <c r="Q85" s="435"/>
      <c r="R85" s="435"/>
      <c r="S85" s="435"/>
      <c r="T85" s="435"/>
      <c r="U85" s="435"/>
      <c r="V85" s="435"/>
      <c r="W85" s="435"/>
      <c r="X85" s="201" t="s">
        <v>63</v>
      </c>
      <c r="Y85" s="301">
        <v>4.2905184381875593E-2</v>
      </c>
      <c r="Z85" s="301">
        <v>0.11203292161465764</v>
      </c>
      <c r="AA85" s="301">
        <v>0.20516585167863827</v>
      </c>
      <c r="AB85" s="301">
        <v>0.34790001540782683</v>
      </c>
      <c r="AC85" s="301">
        <v>0.39760001760894487</v>
      </c>
      <c r="AD85" s="244" t="s">
        <v>333</v>
      </c>
    </row>
    <row r="86" spans="1:30" ht="16.5" customHeight="1" x14ac:dyDescent="0.3">
      <c r="A86" s="435"/>
      <c r="B86" s="435"/>
      <c r="C86" s="435"/>
      <c r="D86" s="435"/>
      <c r="E86" s="435"/>
      <c r="F86" s="435"/>
      <c r="G86" s="435"/>
      <c r="H86" s="435"/>
      <c r="I86" s="435"/>
      <c r="J86" s="435"/>
      <c r="K86" s="435"/>
      <c r="L86" s="435"/>
      <c r="M86" s="435"/>
      <c r="N86" s="435"/>
      <c r="O86" s="435"/>
      <c r="P86" s="435"/>
      <c r="Q86" s="435"/>
      <c r="R86" s="435"/>
      <c r="S86" s="435"/>
      <c r="T86" s="435"/>
      <c r="U86" s="435"/>
      <c r="V86" s="435"/>
      <c r="W86" s="435"/>
      <c r="X86" s="201" t="s">
        <v>64</v>
      </c>
      <c r="Y86" s="301">
        <v>6.0069243142107612E-2</v>
      </c>
      <c r="Z86" s="301">
        <v>0.15928794784284833</v>
      </c>
      <c r="AA86" s="301">
        <v>0.19114553741141802</v>
      </c>
      <c r="AB86" s="301">
        <v>0.34409212823611068</v>
      </c>
      <c r="AC86" s="301">
        <v>0.39324814655555496</v>
      </c>
      <c r="AD86" s="244" t="s">
        <v>405</v>
      </c>
    </row>
    <row r="87" spans="1:30" ht="16.5" customHeight="1" x14ac:dyDescent="0.3">
      <c r="A87" s="435"/>
      <c r="B87" s="435"/>
      <c r="C87" s="435"/>
      <c r="D87" s="435"/>
      <c r="E87" s="435"/>
      <c r="F87" s="435"/>
      <c r="G87" s="435"/>
      <c r="H87" s="435"/>
      <c r="I87" s="435"/>
      <c r="J87" s="435"/>
      <c r="K87" s="435"/>
      <c r="L87" s="435"/>
      <c r="M87" s="435"/>
      <c r="N87" s="435"/>
      <c r="O87" s="435"/>
      <c r="P87" s="435"/>
      <c r="Q87" s="435"/>
      <c r="R87" s="435"/>
      <c r="S87" s="435"/>
      <c r="T87" s="435"/>
      <c r="U87" s="435"/>
      <c r="V87" s="435"/>
      <c r="W87" s="435"/>
      <c r="X87" s="201" t="s">
        <v>196</v>
      </c>
      <c r="Y87" s="301">
        <v>0.3086707442568718</v>
      </c>
      <c r="Z87" s="301">
        <v>0.57498705887181834</v>
      </c>
      <c r="AA87" s="301">
        <v>0.89565940633103525</v>
      </c>
      <c r="AB87" s="301">
        <v>1.2444439508529392</v>
      </c>
      <c r="AC87" s="301">
        <v>1.3659285306119766</v>
      </c>
      <c r="AD87" s="244" t="s">
        <v>405</v>
      </c>
    </row>
    <row r="88" spans="1:30" ht="16.5" customHeight="1" x14ac:dyDescent="0.3">
      <c r="A88" s="435"/>
      <c r="B88" s="435"/>
      <c r="C88" s="435"/>
      <c r="D88" s="435"/>
      <c r="E88" s="435"/>
      <c r="F88" s="435"/>
      <c r="G88" s="435"/>
      <c r="H88" s="435"/>
      <c r="I88" s="435"/>
      <c r="J88" s="435"/>
      <c r="K88" s="435"/>
      <c r="L88" s="435"/>
      <c r="M88" s="435"/>
      <c r="N88" s="435"/>
      <c r="O88" s="435"/>
      <c r="P88" s="435"/>
      <c r="Q88" s="435"/>
      <c r="R88" s="435"/>
      <c r="S88" s="435"/>
      <c r="T88" s="435"/>
      <c r="U88" s="435"/>
      <c r="V88" s="435"/>
      <c r="W88" s="435"/>
      <c r="X88" s="201" t="s">
        <v>67</v>
      </c>
      <c r="Y88" s="301">
        <v>0.16514543481629892</v>
      </c>
      <c r="Z88" s="301">
        <v>0.20643179352037366</v>
      </c>
      <c r="AA88" s="301">
        <v>0.24771815222444837</v>
      </c>
      <c r="AB88" s="301">
        <v>0.28900451092852308</v>
      </c>
      <c r="AC88" s="301">
        <v>0.33029086963259785</v>
      </c>
      <c r="AD88" s="244" t="s">
        <v>405</v>
      </c>
    </row>
    <row r="89" spans="1:30" ht="16.5" customHeight="1" x14ac:dyDescent="0.3">
      <c r="A89" s="435"/>
      <c r="B89" s="435"/>
      <c r="C89" s="435"/>
      <c r="D89" s="435"/>
      <c r="E89" s="435"/>
      <c r="F89" s="435"/>
      <c r="G89" s="435"/>
      <c r="H89" s="435"/>
      <c r="I89" s="435"/>
      <c r="J89" s="435"/>
      <c r="K89" s="435"/>
      <c r="L89" s="435"/>
      <c r="M89" s="435"/>
      <c r="N89" s="435"/>
      <c r="O89" s="435"/>
      <c r="P89" s="435"/>
      <c r="Q89" s="435"/>
      <c r="R89" s="435"/>
      <c r="S89" s="435"/>
      <c r="T89" s="435"/>
      <c r="U89" s="435"/>
      <c r="V89" s="435"/>
      <c r="W89" s="435"/>
      <c r="X89" s="201" t="s">
        <v>197</v>
      </c>
      <c r="Y89" s="301">
        <v>2.8664770594541707E-2</v>
      </c>
      <c r="Z89" s="301">
        <v>6.6618224487514713E-2</v>
      </c>
      <c r="AA89" s="301">
        <v>7.9941869385017642E-2</v>
      </c>
      <c r="AB89" s="301">
        <v>0.14012313740352317</v>
      </c>
      <c r="AC89" s="301">
        <v>0.16014072846116933</v>
      </c>
      <c r="AD89" s="244" t="s">
        <v>405</v>
      </c>
    </row>
    <row r="90" spans="1:30" ht="16.5" customHeight="1" x14ac:dyDescent="0.3">
      <c r="A90" s="435"/>
      <c r="B90" s="435"/>
      <c r="C90" s="435"/>
      <c r="D90" s="435"/>
      <c r="E90" s="435"/>
      <c r="F90" s="435"/>
      <c r="G90" s="435"/>
      <c r="H90" s="435"/>
      <c r="I90" s="435"/>
      <c r="J90" s="435"/>
      <c r="K90" s="435"/>
      <c r="L90" s="435"/>
      <c r="M90" s="435"/>
      <c r="N90" s="435"/>
      <c r="O90" s="435"/>
      <c r="P90" s="435"/>
      <c r="Q90" s="435"/>
      <c r="R90" s="435"/>
      <c r="S90" s="435"/>
      <c r="T90" s="435"/>
      <c r="U90" s="435"/>
      <c r="V90" s="435"/>
      <c r="W90" s="435"/>
      <c r="X90" s="201" t="s">
        <v>69</v>
      </c>
      <c r="Y90" s="301">
        <v>3.1829804580021943E-2</v>
      </c>
      <c r="Z90" s="301">
        <v>4.8315700463393098E-2</v>
      </c>
      <c r="AA90" s="301">
        <v>5.797884055607172E-2</v>
      </c>
      <c r="AB90" s="301">
        <v>0.11616913219309503</v>
      </c>
      <c r="AC90" s="301">
        <v>0.14741916710201577</v>
      </c>
      <c r="AD90" s="244" t="s">
        <v>333</v>
      </c>
    </row>
    <row r="91" spans="1:30" s="435" customFormat="1" ht="16.5" customHeight="1" x14ac:dyDescent="0.3">
      <c r="X91" s="201" t="s">
        <v>70</v>
      </c>
      <c r="Y91" s="301">
        <v>2.8664770594541707E-2</v>
      </c>
      <c r="Z91" s="301">
        <v>6.6618224487514713E-2</v>
      </c>
      <c r="AA91" s="301">
        <v>7.9941869385017642E-2</v>
      </c>
      <c r="AB91" s="301">
        <v>0.14012313740352317</v>
      </c>
      <c r="AC91" s="301">
        <v>0.16014072846116933</v>
      </c>
      <c r="AD91" s="244" t="s">
        <v>333</v>
      </c>
    </row>
    <row r="92" spans="1:30" s="435" customFormat="1" ht="16.5" customHeight="1" x14ac:dyDescent="0.3">
      <c r="X92" s="201" t="s">
        <v>71</v>
      </c>
      <c r="Y92" s="301">
        <v>1.138475443544619E-2</v>
      </c>
      <c r="Z92" s="301">
        <v>1.4230943044307736E-2</v>
      </c>
      <c r="AA92" s="301">
        <v>1.7077131653169285E-2</v>
      </c>
      <c r="AB92" s="301">
        <v>1.9923320262030829E-2</v>
      </c>
      <c r="AC92" s="301">
        <v>2.276950887089238E-2</v>
      </c>
      <c r="AD92" s="244" t="s">
        <v>333</v>
      </c>
    </row>
    <row r="93" spans="1:30" s="435" customFormat="1" ht="16.5" customHeight="1" x14ac:dyDescent="0.3">
      <c r="X93" s="201" t="s">
        <v>72</v>
      </c>
      <c r="Y93" s="301">
        <v>5.1766168756151212E-2</v>
      </c>
      <c r="Z93" s="301">
        <v>6.3233838338349224E-2</v>
      </c>
      <c r="AA93" s="301">
        <v>8.7489025596783121E-2</v>
      </c>
      <c r="AB93" s="301">
        <v>0.1165445654608588</v>
      </c>
      <c r="AC93" s="301">
        <v>0.13319378909812432</v>
      </c>
      <c r="AD93" s="244" t="s">
        <v>405</v>
      </c>
    </row>
    <row r="94" spans="1:30" s="435" customFormat="1" ht="16.5" customHeight="1" x14ac:dyDescent="0.3">
      <c r="X94" s="201" t="s">
        <v>73</v>
      </c>
      <c r="Y94" s="301">
        <v>0.18032959999999998</v>
      </c>
      <c r="Z94" s="301">
        <v>0.225412</v>
      </c>
      <c r="AA94" s="301">
        <v>0.27049440000000002</v>
      </c>
      <c r="AB94" s="301">
        <v>0.50376480000000001</v>
      </c>
      <c r="AC94" s="301">
        <v>0.5757312</v>
      </c>
      <c r="AD94" s="244" t="s">
        <v>405</v>
      </c>
    </row>
    <row r="95" spans="1:30" s="435" customFormat="1" ht="16.5" customHeight="1" x14ac:dyDescent="0.3"/>
    <row r="96" spans="1:30" s="435" customFormat="1" ht="16.5" customHeight="1" x14ac:dyDescent="0.3"/>
    <row r="97" s="435" customFormat="1" ht="16.5" customHeight="1" x14ac:dyDescent="0.3"/>
    <row r="98" s="435" customFormat="1" ht="16.5" customHeight="1" x14ac:dyDescent="0.3"/>
    <row r="99" s="435" customFormat="1" ht="16.5" customHeight="1" x14ac:dyDescent="0.3"/>
    <row r="100" s="435" customFormat="1" ht="16.5" customHeight="1" x14ac:dyDescent="0.3"/>
    <row r="101" s="435" customFormat="1" ht="16.5" customHeight="1" x14ac:dyDescent="0.3"/>
    <row r="102" s="435" customFormat="1" x14ac:dyDescent="0.3"/>
    <row r="103" s="435" customFormat="1" x14ac:dyDescent="0.3"/>
    <row r="104" s="435" customFormat="1" x14ac:dyDescent="0.3"/>
    <row r="105" s="435" customFormat="1" x14ac:dyDescent="0.3"/>
    <row r="106" s="435" customFormat="1" x14ac:dyDescent="0.3"/>
    <row r="107" s="435" customFormat="1" x14ac:dyDescent="0.3"/>
    <row r="108" s="435" customFormat="1" x14ac:dyDescent="0.3"/>
    <row r="109" s="435" customFormat="1" x14ac:dyDescent="0.3"/>
    <row r="110" s="435" customFormat="1" x14ac:dyDescent="0.3"/>
    <row r="111" s="435" customFormat="1" x14ac:dyDescent="0.3"/>
    <row r="112" s="435" customFormat="1" x14ac:dyDescent="0.3"/>
    <row r="113" s="435" customFormat="1" x14ac:dyDescent="0.3"/>
    <row r="114" s="435" customFormat="1" x14ac:dyDescent="0.3"/>
    <row r="115" s="435" customFormat="1" x14ac:dyDescent="0.3"/>
    <row r="116" s="435" customFormat="1" x14ac:dyDescent="0.3"/>
    <row r="117" s="435" customFormat="1" x14ac:dyDescent="0.3"/>
    <row r="118" s="435" customFormat="1" x14ac:dyDescent="0.3"/>
    <row r="119" s="435" customFormat="1" x14ac:dyDescent="0.3"/>
    <row r="120" s="435" customFormat="1" x14ac:dyDescent="0.3"/>
    <row r="121" s="435" customFormat="1" x14ac:dyDescent="0.3"/>
    <row r="122" s="435" customFormat="1" x14ac:dyDescent="0.3"/>
    <row r="123" s="435" customFormat="1" x14ac:dyDescent="0.3"/>
    <row r="124" s="435" customFormat="1" x14ac:dyDescent="0.3"/>
    <row r="125" s="435" customFormat="1" x14ac:dyDescent="0.3"/>
    <row r="126" s="435" customFormat="1" x14ac:dyDescent="0.3"/>
    <row r="127" s="435" customFormat="1" x14ac:dyDescent="0.3"/>
    <row r="128" s="435" customFormat="1" x14ac:dyDescent="0.3"/>
    <row r="129" s="435" customFormat="1" x14ac:dyDescent="0.3"/>
    <row r="130" s="435" customFormat="1" x14ac:dyDescent="0.3"/>
    <row r="131" s="435" customFormat="1" x14ac:dyDescent="0.3"/>
    <row r="132" s="435" customFormat="1" x14ac:dyDescent="0.3"/>
    <row r="133" s="435" customFormat="1" x14ac:dyDescent="0.3"/>
    <row r="134" s="435" customFormat="1" x14ac:dyDescent="0.3"/>
    <row r="135" s="435" customFormat="1" x14ac:dyDescent="0.3"/>
    <row r="136" s="435" customFormat="1" x14ac:dyDescent="0.3"/>
    <row r="137" s="435" customFormat="1" x14ac:dyDescent="0.3"/>
    <row r="138" s="435" customFormat="1" x14ac:dyDescent="0.3"/>
    <row r="139" s="435" customFormat="1" x14ac:dyDescent="0.3"/>
    <row r="140" s="435" customFormat="1" x14ac:dyDescent="0.3"/>
    <row r="141" s="435" customFormat="1" x14ac:dyDescent="0.3"/>
    <row r="142" s="435" customFormat="1" x14ac:dyDescent="0.3"/>
    <row r="143" s="435" customFormat="1" x14ac:dyDescent="0.3"/>
    <row r="144" s="435" customFormat="1" x14ac:dyDescent="0.3"/>
    <row r="145" s="435" customFormat="1" x14ac:dyDescent="0.3"/>
    <row r="146" s="435" customFormat="1" x14ac:dyDescent="0.3"/>
    <row r="147" s="435" customFormat="1" x14ac:dyDescent="0.3"/>
    <row r="148" s="435" customFormat="1" x14ac:dyDescent="0.3"/>
    <row r="149" s="435" customFormat="1" x14ac:dyDescent="0.3"/>
    <row r="150" s="435" customFormat="1" x14ac:dyDescent="0.3"/>
    <row r="151" s="435" customFormat="1" x14ac:dyDescent="0.3"/>
    <row r="152" s="435" customFormat="1" x14ac:dyDescent="0.3"/>
    <row r="153" s="435" customFormat="1" x14ac:dyDescent="0.3"/>
    <row r="154" s="435" customFormat="1" x14ac:dyDescent="0.3"/>
    <row r="155" s="435" customFormat="1" x14ac:dyDescent="0.3"/>
    <row r="156" s="435" customFormat="1" x14ac:dyDescent="0.3"/>
    <row r="157" s="435" customFormat="1" x14ac:dyDescent="0.3"/>
    <row r="158" s="435" customFormat="1" x14ac:dyDescent="0.3"/>
    <row r="159" s="435" customFormat="1" x14ac:dyDescent="0.3"/>
    <row r="160" s="435" customFormat="1" x14ac:dyDescent="0.3"/>
    <row r="161" s="435" customFormat="1" x14ac:dyDescent="0.3"/>
    <row r="162" s="435" customFormat="1" x14ac:dyDescent="0.3"/>
    <row r="163" s="435" customFormat="1" x14ac:dyDescent="0.3"/>
    <row r="164" s="435" customFormat="1" x14ac:dyDescent="0.3"/>
    <row r="165" s="435" customFormat="1" x14ac:dyDescent="0.3"/>
    <row r="166" s="435" customFormat="1" x14ac:dyDescent="0.3"/>
    <row r="167" s="435" customFormat="1" x14ac:dyDescent="0.3"/>
    <row r="168" s="435" customFormat="1" x14ac:dyDescent="0.3"/>
    <row r="169" s="435" customFormat="1" x14ac:dyDescent="0.3"/>
    <row r="170" s="435" customFormat="1" x14ac:dyDescent="0.3"/>
    <row r="171" s="435" customFormat="1" x14ac:dyDescent="0.3"/>
    <row r="172" s="435" customFormat="1" x14ac:dyDescent="0.3"/>
    <row r="173" s="435" customFormat="1" x14ac:dyDescent="0.3"/>
    <row r="174" s="435" customFormat="1" x14ac:dyDescent="0.3"/>
    <row r="175" s="435" customFormat="1" x14ac:dyDescent="0.3"/>
    <row r="176" s="435" customFormat="1" x14ac:dyDescent="0.3"/>
    <row r="177" s="435" customFormat="1" x14ac:dyDescent="0.3"/>
    <row r="178" s="435" customFormat="1" x14ac:dyDescent="0.3"/>
    <row r="179" s="435" customFormat="1" x14ac:dyDescent="0.3"/>
    <row r="180" s="435" customFormat="1" x14ac:dyDescent="0.3"/>
    <row r="181" s="435" customFormat="1" x14ac:dyDescent="0.3"/>
    <row r="182" s="435" customFormat="1" x14ac:dyDescent="0.3"/>
    <row r="183" s="435" customFormat="1" x14ac:dyDescent="0.3"/>
    <row r="184" s="435" customFormat="1" x14ac:dyDescent="0.3"/>
    <row r="185" s="435" customFormat="1" x14ac:dyDescent="0.3"/>
    <row r="186" s="435" customFormat="1" x14ac:dyDescent="0.3"/>
    <row r="187" s="435" customFormat="1" x14ac:dyDescent="0.3"/>
    <row r="188" s="435" customFormat="1" x14ac:dyDescent="0.3"/>
    <row r="189" s="435" customFormat="1" x14ac:dyDescent="0.3"/>
    <row r="190" s="435" customFormat="1" x14ac:dyDescent="0.3"/>
    <row r="191" s="435" customFormat="1" x14ac:dyDescent="0.3"/>
    <row r="192" s="435" customFormat="1" x14ac:dyDescent="0.3"/>
    <row r="193" s="435" customFormat="1" x14ac:dyDescent="0.3"/>
    <row r="194" s="435" customFormat="1" x14ac:dyDescent="0.3"/>
    <row r="195" s="435" customFormat="1" x14ac:dyDescent="0.3"/>
    <row r="196" s="435" customFormat="1" x14ac:dyDescent="0.3"/>
    <row r="197" s="435" customFormat="1" x14ac:dyDescent="0.3"/>
    <row r="198" s="435" customFormat="1" x14ac:dyDescent="0.3"/>
    <row r="199" s="435" customFormat="1" x14ac:dyDescent="0.3"/>
    <row r="200" s="435" customFormat="1" x14ac:dyDescent="0.3"/>
    <row r="201" s="435" customFormat="1" x14ac:dyDescent="0.3"/>
    <row r="202" s="435" customFormat="1" x14ac:dyDescent="0.3"/>
    <row r="203" s="435" customFormat="1" x14ac:dyDescent="0.3"/>
    <row r="204" s="435" customFormat="1" x14ac:dyDescent="0.3"/>
    <row r="205" s="435" customFormat="1" x14ac:dyDescent="0.3"/>
    <row r="206" s="435" customFormat="1" x14ac:dyDescent="0.3"/>
    <row r="207" s="435" customFormat="1" x14ac:dyDescent="0.3"/>
    <row r="208" s="435" customFormat="1" x14ac:dyDescent="0.3"/>
    <row r="209" s="435" customFormat="1" x14ac:dyDescent="0.3"/>
    <row r="210" s="435" customFormat="1" x14ac:dyDescent="0.3"/>
    <row r="211" s="435" customFormat="1" x14ac:dyDescent="0.3"/>
    <row r="212" s="435" customFormat="1" x14ac:dyDescent="0.3"/>
    <row r="213" s="435" customFormat="1" x14ac:dyDescent="0.3"/>
    <row r="214" s="435" customFormat="1" x14ac:dyDescent="0.3"/>
    <row r="215" s="435" customFormat="1" x14ac:dyDescent="0.3"/>
    <row r="216" s="435" customFormat="1" x14ac:dyDescent="0.3"/>
    <row r="217" s="435" customFormat="1" x14ac:dyDescent="0.3"/>
    <row r="218" s="435" customFormat="1" x14ac:dyDescent="0.3"/>
    <row r="219" s="435" customFormat="1" x14ac:dyDescent="0.3"/>
    <row r="220" s="435" customFormat="1" x14ac:dyDescent="0.3"/>
    <row r="221" s="435" customFormat="1" x14ac:dyDescent="0.3"/>
    <row r="222" s="435" customFormat="1" x14ac:dyDescent="0.3"/>
    <row r="223" s="435" customFormat="1" x14ac:dyDescent="0.3"/>
    <row r="224" s="435" customFormat="1" x14ac:dyDescent="0.3"/>
    <row r="225" s="435" customFormat="1" x14ac:dyDescent="0.3"/>
    <row r="226" s="435" customFormat="1" x14ac:dyDescent="0.3"/>
    <row r="227" s="435" customFormat="1" x14ac:dyDescent="0.3"/>
    <row r="228" s="435" customFormat="1" x14ac:dyDescent="0.3"/>
    <row r="229" s="435" customFormat="1" x14ac:dyDescent="0.3"/>
    <row r="230" s="435" customFormat="1" x14ac:dyDescent="0.3"/>
    <row r="231" s="435" customFormat="1" x14ac:dyDescent="0.3"/>
    <row r="232" s="435" customFormat="1" x14ac:dyDescent="0.3"/>
    <row r="233" s="435" customFormat="1" x14ac:dyDescent="0.3"/>
    <row r="234" s="435" customFormat="1" x14ac:dyDescent="0.3"/>
    <row r="235" s="435" customFormat="1" x14ac:dyDescent="0.3"/>
    <row r="236" s="435" customFormat="1" x14ac:dyDescent="0.3"/>
    <row r="237" s="435" customFormat="1" x14ac:dyDescent="0.3"/>
    <row r="238" s="435" customFormat="1" x14ac:dyDescent="0.3"/>
    <row r="239" s="435" customFormat="1" x14ac:dyDescent="0.3"/>
    <row r="240" s="435" customFormat="1" x14ac:dyDescent="0.3"/>
    <row r="241" s="435" customFormat="1" x14ac:dyDescent="0.3"/>
    <row r="242" s="435" customFormat="1" x14ac:dyDescent="0.3"/>
    <row r="243" s="435" customFormat="1" x14ac:dyDescent="0.3"/>
    <row r="244" s="435" customFormat="1" x14ac:dyDescent="0.3"/>
    <row r="245" s="435" customFormat="1" x14ac:dyDescent="0.3"/>
    <row r="246" s="435" customFormat="1" x14ac:dyDescent="0.3"/>
    <row r="247" s="435" customFormat="1" x14ac:dyDescent="0.3"/>
    <row r="248" s="435" customFormat="1" x14ac:dyDescent="0.3"/>
    <row r="249" s="435" customFormat="1" x14ac:dyDescent="0.3"/>
    <row r="250" s="435" customFormat="1" x14ac:dyDescent="0.3"/>
    <row r="251" s="435" customFormat="1" x14ac:dyDescent="0.3"/>
    <row r="252" s="435" customFormat="1" x14ac:dyDescent="0.3"/>
    <row r="253" s="435" customFormat="1" x14ac:dyDescent="0.3"/>
    <row r="254" s="435" customFormat="1" x14ac:dyDescent="0.3"/>
    <row r="255" s="435" customFormat="1" x14ac:dyDescent="0.3"/>
    <row r="256" s="435" customFormat="1" x14ac:dyDescent="0.3"/>
    <row r="257" s="435" customFormat="1" x14ac:dyDescent="0.3"/>
    <row r="258" s="435" customFormat="1" x14ac:dyDescent="0.3"/>
    <row r="259" s="435" customFormat="1" x14ac:dyDescent="0.3"/>
    <row r="260" s="435" customFormat="1" x14ac:dyDescent="0.3"/>
    <row r="261" s="435" customFormat="1" x14ac:dyDescent="0.3"/>
    <row r="262" s="435" customFormat="1" x14ac:dyDescent="0.3"/>
    <row r="263" s="435" customFormat="1" x14ac:dyDescent="0.3"/>
    <row r="264" s="435" customFormat="1" x14ac:dyDescent="0.3"/>
    <row r="265" s="435" customFormat="1" x14ac:dyDescent="0.3"/>
    <row r="266" s="435" customFormat="1" x14ac:dyDescent="0.3"/>
    <row r="267" s="435" customFormat="1" x14ac:dyDescent="0.3"/>
    <row r="268" s="435" customFormat="1" x14ac:dyDescent="0.3"/>
    <row r="269" s="435" customFormat="1" x14ac:dyDescent="0.3"/>
    <row r="270" s="435" customFormat="1" x14ac:dyDescent="0.3"/>
    <row r="271" s="435" customFormat="1" x14ac:dyDescent="0.3"/>
    <row r="272" s="435" customFormat="1" x14ac:dyDescent="0.3"/>
    <row r="273" s="435" customFormat="1" x14ac:dyDescent="0.3"/>
    <row r="274" s="435" customFormat="1" x14ac:dyDescent="0.3"/>
    <row r="275" s="435" customFormat="1" x14ac:dyDescent="0.3"/>
    <row r="276" s="435" customFormat="1" x14ac:dyDescent="0.3"/>
    <row r="277" s="435" customFormat="1" x14ac:dyDescent="0.3"/>
    <row r="278" s="435" customFormat="1" x14ac:dyDescent="0.3"/>
    <row r="279" s="435" customFormat="1" x14ac:dyDescent="0.3"/>
    <row r="280" s="435" customFormat="1" x14ac:dyDescent="0.3"/>
    <row r="281" s="435" customFormat="1" x14ac:dyDescent="0.3"/>
    <row r="282" s="435" customFormat="1" x14ac:dyDescent="0.3"/>
    <row r="283" s="435" customFormat="1" x14ac:dyDescent="0.3"/>
    <row r="284" s="435" customFormat="1" x14ac:dyDescent="0.3"/>
    <row r="285" s="435" customFormat="1" x14ac:dyDescent="0.3"/>
    <row r="286" s="435" customFormat="1" x14ac:dyDescent="0.3"/>
    <row r="287" s="435" customFormat="1" x14ac:dyDescent="0.3"/>
    <row r="288" s="435" customFormat="1" x14ac:dyDescent="0.3"/>
    <row r="289" s="435" customFormat="1" x14ac:dyDescent="0.3"/>
    <row r="290" s="435" customFormat="1" x14ac:dyDescent="0.3"/>
    <row r="291" s="435" customFormat="1" x14ac:dyDescent="0.3"/>
    <row r="292" s="435" customFormat="1" x14ac:dyDescent="0.3"/>
    <row r="293" s="435" customFormat="1" x14ac:dyDescent="0.3"/>
    <row r="294" s="435" customFormat="1" x14ac:dyDescent="0.3"/>
    <row r="295" s="435" customFormat="1" x14ac:dyDescent="0.3"/>
    <row r="296" s="435" customFormat="1" x14ac:dyDescent="0.3"/>
    <row r="297" s="435" customFormat="1" x14ac:dyDescent="0.3"/>
    <row r="298" s="435" customFormat="1" x14ac:dyDescent="0.3"/>
    <row r="299" s="435" customFormat="1" x14ac:dyDescent="0.3"/>
    <row r="300" s="435" customFormat="1" x14ac:dyDescent="0.3"/>
    <row r="301" s="435" customFormat="1" x14ac:dyDescent="0.3"/>
    <row r="302" s="435" customFormat="1" x14ac:dyDescent="0.3"/>
    <row r="303" s="435" customFormat="1" x14ac:dyDescent="0.3"/>
    <row r="304" s="435" customFormat="1" x14ac:dyDescent="0.3"/>
    <row r="305" s="435" customFormat="1" x14ac:dyDescent="0.3"/>
    <row r="306" s="435" customFormat="1" x14ac:dyDescent="0.3"/>
    <row r="307" s="435" customFormat="1" x14ac:dyDescent="0.3"/>
    <row r="308" s="435" customFormat="1" x14ac:dyDescent="0.3"/>
    <row r="309" s="435" customFormat="1" x14ac:dyDescent="0.3"/>
    <row r="310" s="435" customFormat="1" x14ac:dyDescent="0.3"/>
    <row r="311" s="435" customFormat="1" x14ac:dyDescent="0.3"/>
    <row r="312" s="435" customFormat="1" x14ac:dyDescent="0.3"/>
    <row r="313" s="435" customFormat="1" x14ac:dyDescent="0.3"/>
    <row r="314" s="435" customFormat="1" x14ac:dyDescent="0.3"/>
    <row r="315" s="435" customFormat="1" x14ac:dyDescent="0.3"/>
    <row r="316" s="435" customFormat="1" x14ac:dyDescent="0.3"/>
    <row r="317" s="435" customFormat="1" x14ac:dyDescent="0.3"/>
    <row r="318" s="435" customFormat="1" x14ac:dyDescent="0.3"/>
    <row r="319" s="435" customFormat="1" x14ac:dyDescent="0.3"/>
    <row r="320" s="435" customFormat="1" x14ac:dyDescent="0.3"/>
    <row r="321" s="435" customFormat="1" x14ac:dyDescent="0.3"/>
    <row r="322" s="435" customFormat="1" x14ac:dyDescent="0.3"/>
    <row r="323" s="435" customFormat="1" x14ac:dyDescent="0.3"/>
    <row r="324" s="435" customFormat="1" x14ac:dyDescent="0.3"/>
    <row r="325" s="435" customFormat="1" x14ac:dyDescent="0.3"/>
    <row r="326" s="435" customFormat="1" x14ac:dyDescent="0.3"/>
    <row r="327" s="435" customFormat="1" x14ac:dyDescent="0.3"/>
    <row r="328" s="435" customFormat="1" x14ac:dyDescent="0.3"/>
    <row r="329" s="435" customFormat="1" x14ac:dyDescent="0.3"/>
    <row r="330" s="435" customFormat="1" x14ac:dyDescent="0.3"/>
    <row r="331" s="435" customFormat="1" x14ac:dyDescent="0.3"/>
    <row r="332" s="435" customFormat="1" x14ac:dyDescent="0.3"/>
    <row r="333" s="435" customFormat="1" x14ac:dyDescent="0.3"/>
    <row r="334" s="435" customFormat="1" x14ac:dyDescent="0.3"/>
    <row r="335" s="435" customFormat="1" x14ac:dyDescent="0.3"/>
    <row r="336" s="435" customFormat="1" x14ac:dyDescent="0.3"/>
    <row r="337" s="435" customFormat="1" x14ac:dyDescent="0.3"/>
    <row r="338" s="435" customFormat="1" x14ac:dyDescent="0.3"/>
    <row r="339" s="435" customFormat="1" x14ac:dyDescent="0.3"/>
    <row r="340" s="435" customFormat="1" x14ac:dyDescent="0.3"/>
    <row r="341" s="435" customFormat="1" x14ac:dyDescent="0.3"/>
    <row r="342" s="435" customFormat="1" x14ac:dyDescent="0.3"/>
    <row r="343" s="435" customFormat="1" x14ac:dyDescent="0.3"/>
    <row r="344" s="435" customFormat="1" x14ac:dyDescent="0.3"/>
    <row r="345" s="435" customFormat="1" x14ac:dyDescent="0.3"/>
    <row r="346" s="435" customFormat="1" x14ac:dyDescent="0.3"/>
    <row r="347" s="435" customFormat="1" x14ac:dyDescent="0.3"/>
    <row r="348" s="435" customFormat="1" x14ac:dyDescent="0.3"/>
    <row r="349" s="435" customFormat="1" x14ac:dyDescent="0.3"/>
    <row r="350" s="435" customFormat="1" x14ac:dyDescent="0.3"/>
    <row r="351" s="435" customFormat="1" x14ac:dyDescent="0.3"/>
    <row r="352" s="435" customFormat="1" x14ac:dyDescent="0.3"/>
    <row r="353" s="435" customFormat="1" x14ac:dyDescent="0.3"/>
    <row r="354" s="435" customFormat="1" x14ac:dyDescent="0.3"/>
    <row r="355" s="435" customFormat="1" x14ac:dyDescent="0.3"/>
    <row r="356" s="435" customFormat="1" x14ac:dyDescent="0.3"/>
    <row r="357" s="435" customFormat="1" x14ac:dyDescent="0.3"/>
    <row r="358" s="435" customFormat="1" x14ac:dyDescent="0.3"/>
    <row r="359" s="435" customFormat="1" x14ac:dyDescent="0.3"/>
    <row r="360" s="435" customFormat="1" x14ac:dyDescent="0.3"/>
    <row r="361" s="435" customFormat="1" x14ac:dyDescent="0.3"/>
    <row r="362" s="435" customFormat="1" x14ac:dyDescent="0.3"/>
    <row r="363" s="435" customFormat="1" x14ac:dyDescent="0.3"/>
    <row r="364" s="435" customFormat="1" x14ac:dyDescent="0.3"/>
    <row r="365" s="435" customFormat="1" x14ac:dyDescent="0.3"/>
    <row r="366" s="435" customFormat="1" x14ac:dyDescent="0.3"/>
    <row r="367" s="435" customFormat="1" x14ac:dyDescent="0.3"/>
    <row r="368" s="435" customFormat="1" x14ac:dyDescent="0.3"/>
    <row r="369" s="435" customFormat="1" x14ac:dyDescent="0.3"/>
    <row r="370" s="435" customFormat="1" x14ac:dyDescent="0.3"/>
    <row r="371" s="435" customFormat="1" x14ac:dyDescent="0.3"/>
    <row r="372" s="435" customFormat="1" x14ac:dyDescent="0.3"/>
    <row r="373" s="435" customFormat="1" x14ac:dyDescent="0.3"/>
    <row r="374" s="435" customFormat="1" x14ac:dyDescent="0.3"/>
    <row r="375" s="435" customFormat="1" x14ac:dyDescent="0.3"/>
    <row r="376" s="435" customFormat="1" x14ac:dyDescent="0.3"/>
    <row r="377" s="435" customFormat="1" x14ac:dyDescent="0.3"/>
    <row r="378" s="435" customFormat="1" x14ac:dyDescent="0.3"/>
    <row r="379" s="435" customFormat="1" x14ac:dyDescent="0.3"/>
    <row r="380" s="435" customFormat="1" x14ac:dyDescent="0.3"/>
    <row r="381" s="435" customFormat="1" x14ac:dyDescent="0.3"/>
    <row r="382" s="435" customFormat="1" x14ac:dyDescent="0.3"/>
    <row r="383" s="435" customFormat="1" x14ac:dyDescent="0.3"/>
    <row r="384" s="435" customFormat="1" x14ac:dyDescent="0.3"/>
    <row r="385" s="435" customFormat="1" x14ac:dyDescent="0.3"/>
    <row r="386" s="435" customFormat="1" x14ac:dyDescent="0.3"/>
    <row r="387" s="435" customFormat="1" x14ac:dyDescent="0.3"/>
    <row r="388" s="435" customFormat="1" x14ac:dyDescent="0.3"/>
    <row r="389" s="435" customFormat="1" x14ac:dyDescent="0.3"/>
    <row r="390" s="435" customFormat="1" x14ac:dyDescent="0.3"/>
    <row r="391" s="435" customFormat="1" x14ac:dyDescent="0.3"/>
    <row r="392" s="435" customFormat="1" x14ac:dyDescent="0.3"/>
    <row r="393" s="435" customFormat="1" x14ac:dyDescent="0.3"/>
    <row r="394" s="435" customFormat="1" x14ac:dyDescent="0.3"/>
    <row r="395" s="435" customFormat="1" x14ac:dyDescent="0.3"/>
    <row r="396" s="435" customFormat="1" x14ac:dyDescent="0.3"/>
    <row r="397" s="435" customFormat="1" x14ac:dyDescent="0.3"/>
    <row r="398" s="435" customFormat="1" x14ac:dyDescent="0.3"/>
    <row r="399" s="435" customFormat="1" x14ac:dyDescent="0.3"/>
    <row r="400" s="435" customFormat="1" x14ac:dyDescent="0.3"/>
    <row r="401" s="435" customFormat="1" x14ac:dyDescent="0.3"/>
    <row r="402" s="435" customFormat="1" x14ac:dyDescent="0.3"/>
    <row r="403" s="435" customFormat="1" x14ac:dyDescent="0.3"/>
    <row r="404" s="435" customFormat="1" x14ac:dyDescent="0.3"/>
    <row r="405" s="435" customFormat="1" x14ac:dyDescent="0.3"/>
    <row r="406" s="435" customFormat="1" x14ac:dyDescent="0.3"/>
    <row r="407" s="435" customFormat="1" x14ac:dyDescent="0.3"/>
    <row r="408" s="435" customFormat="1" x14ac:dyDescent="0.3"/>
    <row r="409" s="435" customFormat="1" x14ac:dyDescent="0.3"/>
    <row r="410" s="435" customFormat="1" x14ac:dyDescent="0.3"/>
    <row r="411" s="435" customFormat="1" x14ac:dyDescent="0.3"/>
    <row r="412" s="435" customFormat="1" x14ac:dyDescent="0.3"/>
    <row r="413" s="435" customFormat="1" x14ac:dyDescent="0.3"/>
    <row r="414" s="435" customFormat="1" x14ac:dyDescent="0.3"/>
    <row r="415" s="435" customFormat="1" x14ac:dyDescent="0.3"/>
    <row r="416" s="435" customFormat="1" x14ac:dyDescent="0.3"/>
    <row r="417" s="435" customFormat="1" x14ac:dyDescent="0.3"/>
    <row r="418" s="435" customFormat="1" x14ac:dyDescent="0.3"/>
    <row r="419" s="435" customFormat="1" x14ac:dyDescent="0.3"/>
    <row r="420" s="435" customFormat="1" x14ac:dyDescent="0.3"/>
    <row r="421" s="435" customFormat="1" x14ac:dyDescent="0.3"/>
    <row r="422" s="435" customFormat="1" x14ac:dyDescent="0.3"/>
    <row r="423" s="435" customFormat="1" x14ac:dyDescent="0.3"/>
    <row r="424" s="435" customFormat="1" x14ac:dyDescent="0.3"/>
    <row r="425" s="435" customFormat="1" x14ac:dyDescent="0.3"/>
    <row r="426" s="435" customFormat="1" x14ac:dyDescent="0.3"/>
    <row r="427" s="435" customFormat="1" x14ac:dyDescent="0.3"/>
    <row r="428" s="435" customFormat="1" x14ac:dyDescent="0.3"/>
    <row r="429" s="435" customFormat="1" x14ac:dyDescent="0.3"/>
    <row r="430" s="435" customFormat="1" x14ac:dyDescent="0.3"/>
    <row r="431" s="435" customFormat="1" x14ac:dyDescent="0.3"/>
    <row r="432" s="435" customFormat="1" x14ac:dyDescent="0.3"/>
    <row r="433" s="435" customFormat="1" x14ac:dyDescent="0.3"/>
    <row r="434" s="435" customFormat="1" x14ac:dyDescent="0.3"/>
    <row r="435" s="435" customFormat="1" x14ac:dyDescent="0.3"/>
    <row r="436" s="435" customFormat="1" x14ac:dyDescent="0.3"/>
    <row r="437" s="435" customFormat="1" x14ac:dyDescent="0.3"/>
    <row r="438" s="435" customFormat="1" x14ac:dyDescent="0.3"/>
    <row r="439" s="435" customFormat="1" x14ac:dyDescent="0.3"/>
    <row r="440" s="435" customFormat="1" x14ac:dyDescent="0.3"/>
    <row r="441" s="435" customFormat="1" x14ac:dyDescent="0.3"/>
    <row r="442" s="435" customFormat="1" x14ac:dyDescent="0.3"/>
    <row r="443" s="435" customFormat="1" x14ac:dyDescent="0.3"/>
    <row r="444" s="435" customFormat="1" x14ac:dyDescent="0.3"/>
    <row r="445" s="435" customFormat="1" x14ac:dyDescent="0.3"/>
    <row r="446" s="435" customFormat="1" x14ac:dyDescent="0.3"/>
    <row r="447" s="435" customFormat="1" x14ac:dyDescent="0.3"/>
    <row r="448" s="435" customFormat="1" x14ac:dyDescent="0.3"/>
    <row r="449" s="435" customFormat="1" x14ac:dyDescent="0.3"/>
    <row r="450" s="435" customFormat="1" x14ac:dyDescent="0.3"/>
    <row r="451" s="435" customFormat="1" x14ac:dyDescent="0.3"/>
    <row r="452" s="435" customFormat="1" x14ac:dyDescent="0.3"/>
    <row r="453" s="435" customFormat="1" x14ac:dyDescent="0.3"/>
    <row r="454" s="435" customFormat="1" x14ac:dyDescent="0.3"/>
    <row r="455" s="435" customFormat="1" x14ac:dyDescent="0.3"/>
    <row r="456" s="435" customFormat="1" x14ac:dyDescent="0.3"/>
    <row r="457" s="435" customFormat="1" x14ac:dyDescent="0.3"/>
    <row r="458" s="435" customFormat="1" x14ac:dyDescent="0.3"/>
    <row r="459" s="435" customFormat="1" x14ac:dyDescent="0.3"/>
    <row r="460" s="435" customFormat="1" x14ac:dyDescent="0.3"/>
    <row r="461" s="435" customFormat="1" x14ac:dyDescent="0.3"/>
    <row r="462" s="435" customFormat="1" x14ac:dyDescent="0.3"/>
    <row r="463" s="435" customFormat="1" x14ac:dyDescent="0.3"/>
    <row r="464" s="435" customFormat="1" x14ac:dyDescent="0.3"/>
    <row r="465" s="435" customFormat="1" x14ac:dyDescent="0.3"/>
    <row r="466" s="435" customFormat="1" x14ac:dyDescent="0.3"/>
    <row r="467" s="435" customFormat="1" x14ac:dyDescent="0.3"/>
    <row r="468" s="435" customFormat="1" x14ac:dyDescent="0.3"/>
    <row r="469" s="435" customFormat="1" x14ac:dyDescent="0.3"/>
    <row r="470" s="435" customFormat="1" x14ac:dyDescent="0.3"/>
    <row r="471" s="435" customFormat="1" x14ac:dyDescent="0.3"/>
    <row r="472" s="435" customFormat="1" x14ac:dyDescent="0.3"/>
    <row r="473" s="435" customFormat="1" x14ac:dyDescent="0.3"/>
    <row r="474" s="435" customFormat="1" x14ac:dyDescent="0.3"/>
    <row r="475" s="435" customFormat="1" x14ac:dyDescent="0.3"/>
    <row r="476" s="435" customFormat="1" x14ac:dyDescent="0.3"/>
    <row r="477" s="435" customFormat="1" x14ac:dyDescent="0.3"/>
    <row r="478" s="435" customFormat="1" x14ac:dyDescent="0.3"/>
    <row r="479" s="435" customFormat="1" x14ac:dyDescent="0.3"/>
    <row r="480" s="435" customFormat="1" x14ac:dyDescent="0.3"/>
    <row r="481" s="435" customFormat="1" x14ac:dyDescent="0.3"/>
    <row r="482" s="435" customFormat="1" x14ac:dyDescent="0.3"/>
    <row r="483" s="435" customFormat="1" x14ac:dyDescent="0.3"/>
    <row r="484" s="435" customFormat="1" x14ac:dyDescent="0.3"/>
    <row r="485" s="435" customFormat="1" x14ac:dyDescent="0.3"/>
    <row r="486" s="435" customFormat="1" x14ac:dyDescent="0.3"/>
    <row r="487" s="435" customFormat="1" x14ac:dyDescent="0.3"/>
    <row r="488" s="435" customFormat="1" x14ac:dyDescent="0.3"/>
    <row r="489" s="435" customFormat="1" x14ac:dyDescent="0.3"/>
    <row r="490" s="435" customFormat="1" x14ac:dyDescent="0.3"/>
    <row r="491" s="435" customFormat="1" x14ac:dyDescent="0.3"/>
    <row r="492" s="435" customFormat="1" x14ac:dyDescent="0.3"/>
    <row r="493" s="435" customFormat="1" x14ac:dyDescent="0.3"/>
    <row r="494" s="435" customFormat="1" x14ac:dyDescent="0.3"/>
    <row r="495" s="435" customFormat="1" x14ac:dyDescent="0.3"/>
    <row r="496" s="435" customFormat="1" x14ac:dyDescent="0.3"/>
    <row r="497" s="435" customFormat="1" x14ac:dyDescent="0.3"/>
    <row r="498" s="435" customFormat="1" x14ac:dyDescent="0.3"/>
    <row r="499" s="435" customFormat="1" x14ac:dyDescent="0.3"/>
    <row r="500" s="435" customFormat="1" x14ac:dyDescent="0.3"/>
    <row r="501" s="435" customFormat="1" x14ac:dyDescent="0.3"/>
    <row r="502" s="435" customFormat="1" x14ac:dyDescent="0.3"/>
    <row r="503" s="435" customFormat="1" x14ac:dyDescent="0.3"/>
    <row r="504" s="435" customFormat="1" x14ac:dyDescent="0.3"/>
    <row r="505" s="435" customFormat="1" x14ac:dyDescent="0.3"/>
    <row r="506" s="435" customFormat="1" x14ac:dyDescent="0.3"/>
    <row r="507" s="435" customFormat="1" x14ac:dyDescent="0.3"/>
    <row r="508" s="435" customFormat="1" x14ac:dyDescent="0.3"/>
    <row r="509" s="435" customFormat="1" x14ac:dyDescent="0.3"/>
    <row r="510" s="435" customFormat="1" x14ac:dyDescent="0.3"/>
    <row r="511" s="435" customFormat="1" x14ac:dyDescent="0.3"/>
    <row r="512" s="435" customFormat="1" x14ac:dyDescent="0.3"/>
    <row r="513" s="435" customFormat="1" x14ac:dyDescent="0.3"/>
    <row r="514" s="435" customFormat="1" x14ac:dyDescent="0.3"/>
    <row r="515" s="435" customFormat="1" x14ac:dyDescent="0.3"/>
    <row r="516" s="435" customFormat="1" x14ac:dyDescent="0.3"/>
    <row r="517" s="435" customFormat="1" x14ac:dyDescent="0.3"/>
    <row r="518" s="435" customFormat="1" x14ac:dyDescent="0.3"/>
    <row r="519" s="435" customFormat="1" x14ac:dyDescent="0.3"/>
    <row r="520" s="435" customFormat="1" x14ac:dyDescent="0.3"/>
    <row r="521" s="435" customFormat="1" x14ac:dyDescent="0.3"/>
    <row r="522" s="435" customFormat="1" x14ac:dyDescent="0.3"/>
    <row r="523" s="435" customFormat="1" x14ac:dyDescent="0.3"/>
    <row r="524" s="435" customFormat="1" x14ac:dyDescent="0.3"/>
    <row r="525" s="435" customFormat="1" x14ac:dyDescent="0.3"/>
    <row r="526" s="435" customFormat="1" x14ac:dyDescent="0.3"/>
    <row r="527" s="435" customFormat="1" x14ac:dyDescent="0.3"/>
    <row r="528" s="435" customFormat="1" x14ac:dyDescent="0.3"/>
    <row r="529" s="435" customFormat="1" x14ac:dyDescent="0.3"/>
    <row r="530" s="435" customFormat="1" x14ac:dyDescent="0.3"/>
    <row r="531" s="435" customFormat="1" x14ac:dyDescent="0.3"/>
    <row r="532" s="435" customFormat="1" x14ac:dyDescent="0.3"/>
    <row r="533" s="435" customFormat="1" x14ac:dyDescent="0.3"/>
    <row r="534" s="435" customFormat="1" x14ac:dyDescent="0.3"/>
    <row r="535" s="435" customFormat="1" x14ac:dyDescent="0.3"/>
    <row r="536" s="435" customFormat="1" x14ac:dyDescent="0.3"/>
    <row r="537" s="435" customFormat="1" x14ac:dyDescent="0.3"/>
    <row r="538" s="435" customFormat="1" x14ac:dyDescent="0.3"/>
    <row r="539" s="435" customFormat="1" x14ac:dyDescent="0.3"/>
    <row r="540" s="435" customFormat="1" x14ac:dyDescent="0.3"/>
    <row r="541" s="435" customFormat="1" x14ac:dyDescent="0.3"/>
    <row r="542" s="435" customFormat="1" x14ac:dyDescent="0.3"/>
    <row r="543" s="435" customFormat="1" x14ac:dyDescent="0.3"/>
    <row r="544" s="435" customFormat="1" x14ac:dyDescent="0.3"/>
    <row r="545" s="435" customFormat="1" x14ac:dyDescent="0.3"/>
    <row r="546" s="435" customFormat="1" x14ac:dyDescent="0.3"/>
    <row r="547" s="435" customFormat="1" x14ac:dyDescent="0.3"/>
    <row r="548" s="435" customFormat="1" x14ac:dyDescent="0.3"/>
    <row r="549" s="435" customFormat="1" x14ac:dyDescent="0.3"/>
    <row r="550" s="435" customFormat="1" x14ac:dyDescent="0.3"/>
    <row r="551" s="435" customFormat="1" x14ac:dyDescent="0.3"/>
    <row r="552" s="435" customFormat="1" x14ac:dyDescent="0.3"/>
    <row r="553" s="435" customFormat="1" x14ac:dyDescent="0.3"/>
    <row r="554" s="435" customFormat="1" x14ac:dyDescent="0.3"/>
    <row r="555" s="435" customFormat="1" x14ac:dyDescent="0.3"/>
    <row r="556" s="435" customFormat="1" x14ac:dyDescent="0.3"/>
    <row r="557" s="435" customFormat="1" x14ac:dyDescent="0.3"/>
    <row r="558" s="435" customFormat="1" x14ac:dyDescent="0.3"/>
    <row r="559" s="435" customFormat="1" x14ac:dyDescent="0.3"/>
    <row r="560" s="435" customFormat="1" x14ac:dyDescent="0.3"/>
    <row r="561" s="435" customFormat="1" x14ac:dyDescent="0.3"/>
    <row r="562" s="435" customFormat="1" x14ac:dyDescent="0.3"/>
    <row r="563" s="435" customFormat="1" x14ac:dyDescent="0.3"/>
    <row r="564" s="435" customFormat="1" x14ac:dyDescent="0.3"/>
    <row r="565" s="435" customFormat="1" x14ac:dyDescent="0.3"/>
    <row r="566" s="435" customFormat="1" x14ac:dyDescent="0.3"/>
    <row r="567" s="435" customFormat="1" x14ac:dyDescent="0.3"/>
    <row r="568" s="435" customFormat="1" x14ac:dyDescent="0.3"/>
    <row r="569" s="435" customFormat="1" x14ac:dyDescent="0.3"/>
    <row r="570" s="435" customFormat="1" x14ac:dyDescent="0.3"/>
    <row r="571" s="435" customFormat="1" x14ac:dyDescent="0.3"/>
    <row r="572" s="435" customFormat="1" x14ac:dyDescent="0.3"/>
    <row r="573" s="435" customFormat="1" x14ac:dyDescent="0.3"/>
    <row r="574" s="435" customFormat="1" x14ac:dyDescent="0.3"/>
    <row r="575" s="435" customFormat="1" x14ac:dyDescent="0.3"/>
    <row r="576" s="435" customFormat="1" x14ac:dyDescent="0.3"/>
    <row r="577" s="435" customFormat="1" x14ac:dyDescent="0.3"/>
    <row r="578" s="435" customFormat="1" x14ac:dyDescent="0.3"/>
    <row r="579" s="435" customFormat="1" x14ac:dyDescent="0.3"/>
    <row r="580" s="435" customFormat="1" x14ac:dyDescent="0.3"/>
    <row r="581" s="435" customFormat="1" x14ac:dyDescent="0.3"/>
    <row r="582" s="435" customFormat="1" x14ac:dyDescent="0.3"/>
    <row r="583" s="435" customFormat="1" x14ac:dyDescent="0.3"/>
    <row r="584" s="435" customFormat="1" x14ac:dyDescent="0.3"/>
    <row r="585" s="435" customFormat="1" x14ac:dyDescent="0.3"/>
    <row r="586" s="435" customFormat="1" x14ac:dyDescent="0.3"/>
    <row r="587" s="435" customFormat="1" x14ac:dyDescent="0.3"/>
    <row r="588" s="435" customFormat="1" x14ac:dyDescent="0.3"/>
    <row r="589" s="435" customFormat="1" x14ac:dyDescent="0.3"/>
    <row r="590" s="435" customFormat="1" x14ac:dyDescent="0.3"/>
    <row r="591" s="435" customFormat="1" x14ac:dyDescent="0.3"/>
    <row r="592" s="435" customFormat="1" x14ac:dyDescent="0.3"/>
    <row r="593" s="435" customFormat="1" x14ac:dyDescent="0.3"/>
    <row r="594" s="435" customFormat="1" x14ac:dyDescent="0.3"/>
    <row r="595" s="435" customFormat="1" x14ac:dyDescent="0.3"/>
    <row r="596" s="435" customFormat="1" x14ac:dyDescent="0.3"/>
    <row r="597" s="435" customFormat="1" x14ac:dyDescent="0.3"/>
    <row r="598" s="435" customFormat="1" x14ac:dyDescent="0.3"/>
    <row r="599" s="435" customFormat="1" x14ac:dyDescent="0.3"/>
    <row r="600" s="435" customFormat="1" x14ac:dyDescent="0.3"/>
    <row r="601" s="435" customFormat="1" x14ac:dyDescent="0.3"/>
    <row r="602" s="435" customFormat="1" x14ac:dyDescent="0.3"/>
    <row r="603" s="435" customFormat="1" x14ac:dyDescent="0.3"/>
    <row r="604" s="435" customFormat="1" x14ac:dyDescent="0.3"/>
    <row r="605" s="435" customFormat="1" x14ac:dyDescent="0.3"/>
    <row r="606" s="435" customFormat="1" x14ac:dyDescent="0.3"/>
    <row r="607" s="435" customFormat="1" x14ac:dyDescent="0.3"/>
    <row r="608" s="435" customFormat="1" x14ac:dyDescent="0.3"/>
    <row r="609" s="435" customFormat="1" x14ac:dyDescent="0.3"/>
    <row r="610" s="435" customFormat="1" x14ac:dyDescent="0.3"/>
    <row r="611" s="435" customFormat="1" x14ac:dyDescent="0.3"/>
    <row r="612" s="435" customFormat="1" x14ac:dyDescent="0.3"/>
    <row r="613" s="435" customFormat="1" x14ac:dyDescent="0.3"/>
    <row r="614" s="435" customFormat="1" x14ac:dyDescent="0.3"/>
    <row r="615" s="435" customFormat="1" x14ac:dyDescent="0.3"/>
    <row r="616" s="435" customFormat="1" x14ac:dyDescent="0.3"/>
    <row r="617" s="435" customFormat="1" x14ac:dyDescent="0.3"/>
    <row r="618" s="435" customFormat="1" x14ac:dyDescent="0.3"/>
    <row r="619" s="435" customFormat="1" x14ac:dyDescent="0.3"/>
    <row r="620" s="435" customFormat="1" x14ac:dyDescent="0.3"/>
    <row r="621" s="435" customFormat="1" x14ac:dyDescent="0.3"/>
    <row r="622" s="435" customFormat="1" x14ac:dyDescent="0.3"/>
    <row r="623" s="435" customFormat="1" x14ac:dyDescent="0.3"/>
    <row r="624" s="435" customFormat="1" x14ac:dyDescent="0.3"/>
    <row r="625" s="435" customFormat="1" x14ac:dyDescent="0.3"/>
    <row r="626" s="435" customFormat="1" x14ac:dyDescent="0.3"/>
    <row r="627" s="435" customFormat="1" x14ac:dyDescent="0.3"/>
    <row r="628" s="435" customFormat="1" x14ac:dyDescent="0.3"/>
    <row r="629" s="435" customFormat="1" x14ac:dyDescent="0.3"/>
    <row r="630" s="435" customFormat="1" x14ac:dyDescent="0.3"/>
    <row r="631" s="435" customFormat="1" x14ac:dyDescent="0.3"/>
    <row r="632" s="435" customFormat="1" x14ac:dyDescent="0.3"/>
    <row r="633" s="435" customFormat="1" x14ac:dyDescent="0.3"/>
    <row r="634" s="435" customFormat="1" x14ac:dyDescent="0.3"/>
    <row r="635" s="435" customFormat="1" x14ac:dyDescent="0.3"/>
    <row r="636" s="435" customFormat="1" x14ac:dyDescent="0.3"/>
    <row r="637" s="435" customFormat="1" x14ac:dyDescent="0.3"/>
    <row r="638" s="435" customFormat="1" x14ac:dyDescent="0.3"/>
    <row r="639" s="435" customFormat="1" x14ac:dyDescent="0.3"/>
    <row r="640" s="435" customFormat="1" x14ac:dyDescent="0.3"/>
    <row r="641" s="435" customFormat="1" x14ac:dyDescent="0.3"/>
    <row r="642" s="435" customFormat="1" x14ac:dyDescent="0.3"/>
    <row r="643" s="435" customFormat="1" x14ac:dyDescent="0.3"/>
    <row r="644" s="435" customFormat="1" x14ac:dyDescent="0.3"/>
    <row r="645" s="435" customFormat="1" x14ac:dyDescent="0.3"/>
    <row r="646" s="435" customFormat="1" x14ac:dyDescent="0.3"/>
    <row r="647" s="435" customFormat="1" x14ac:dyDescent="0.3"/>
    <row r="648" s="435" customFormat="1" x14ac:dyDescent="0.3"/>
    <row r="649" s="435" customFormat="1" x14ac:dyDescent="0.3"/>
    <row r="650" s="435" customFormat="1" x14ac:dyDescent="0.3"/>
    <row r="651" s="435" customFormat="1" x14ac:dyDescent="0.3"/>
    <row r="652" s="435" customFormat="1" x14ac:dyDescent="0.3"/>
    <row r="653" s="435" customFormat="1" x14ac:dyDescent="0.3"/>
    <row r="654" s="435" customFormat="1" x14ac:dyDescent="0.3"/>
    <row r="655" s="435" customFormat="1" x14ac:dyDescent="0.3"/>
    <row r="656" s="435" customFormat="1" x14ac:dyDescent="0.3"/>
    <row r="657" s="435" customFormat="1" x14ac:dyDescent="0.3"/>
    <row r="658" s="435" customFormat="1" x14ac:dyDescent="0.3"/>
    <row r="659" s="435" customFormat="1" x14ac:dyDescent="0.3"/>
    <row r="660" s="435" customFormat="1" x14ac:dyDescent="0.3"/>
    <row r="661" s="435" customFormat="1" x14ac:dyDescent="0.3"/>
    <row r="662" s="435" customFormat="1" x14ac:dyDescent="0.3"/>
    <row r="663" s="435" customFormat="1" x14ac:dyDescent="0.3"/>
    <row r="664" s="435" customFormat="1" x14ac:dyDescent="0.3"/>
    <row r="665" s="435" customFormat="1" x14ac:dyDescent="0.3"/>
    <row r="666" s="435" customFormat="1" x14ac:dyDescent="0.3"/>
    <row r="667" s="435" customFormat="1" x14ac:dyDescent="0.3"/>
    <row r="668" s="435" customFormat="1" x14ac:dyDescent="0.3"/>
    <row r="669" s="435" customFormat="1" x14ac:dyDescent="0.3"/>
    <row r="670" s="435" customFormat="1" x14ac:dyDescent="0.3"/>
    <row r="671" s="435" customFormat="1" x14ac:dyDescent="0.3"/>
    <row r="672" s="435" customFormat="1" x14ac:dyDescent="0.3"/>
    <row r="673" s="435" customFormat="1" x14ac:dyDescent="0.3"/>
    <row r="674" s="435" customFormat="1" x14ac:dyDescent="0.3"/>
    <row r="675" s="435" customFormat="1" x14ac:dyDescent="0.3"/>
    <row r="676" s="435" customFormat="1" x14ac:dyDescent="0.3"/>
    <row r="677" s="435" customFormat="1" x14ac:dyDescent="0.3"/>
    <row r="678" s="435" customFormat="1" x14ac:dyDescent="0.3"/>
    <row r="679" s="435" customFormat="1" x14ac:dyDescent="0.3"/>
    <row r="680" s="435" customFormat="1" x14ac:dyDescent="0.3"/>
    <row r="681" s="435" customFormat="1" x14ac:dyDescent="0.3"/>
    <row r="682" s="435" customFormat="1" x14ac:dyDescent="0.3"/>
    <row r="683" s="435" customFormat="1" x14ac:dyDescent="0.3"/>
    <row r="684" s="435" customFormat="1" x14ac:dyDescent="0.3"/>
    <row r="685" s="435" customFormat="1" x14ac:dyDescent="0.3"/>
    <row r="686" s="435" customFormat="1" x14ac:dyDescent="0.3"/>
    <row r="687" s="435" customFormat="1" x14ac:dyDescent="0.3"/>
    <row r="688" s="435" customFormat="1" x14ac:dyDescent="0.3"/>
    <row r="689" s="435" customFormat="1" x14ac:dyDescent="0.3"/>
    <row r="690" s="435" customFormat="1" x14ac:dyDescent="0.3"/>
    <row r="691" s="435" customFormat="1" x14ac:dyDescent="0.3"/>
    <row r="692" s="435" customFormat="1" x14ac:dyDescent="0.3"/>
    <row r="693" s="435" customFormat="1" x14ac:dyDescent="0.3"/>
    <row r="694" s="435" customFormat="1" x14ac:dyDescent="0.3"/>
    <row r="695" s="435" customFormat="1" x14ac:dyDescent="0.3"/>
    <row r="696" s="435" customFormat="1" x14ac:dyDescent="0.3"/>
    <row r="697" s="435" customFormat="1" x14ac:dyDescent="0.3"/>
    <row r="698" s="435" customFormat="1" x14ac:dyDescent="0.3"/>
    <row r="699" s="435" customFormat="1" x14ac:dyDescent="0.3"/>
    <row r="700" s="435" customFormat="1" x14ac:dyDescent="0.3"/>
    <row r="701" s="435" customFormat="1" x14ac:dyDescent="0.3"/>
    <row r="702" s="435" customFormat="1" x14ac:dyDescent="0.3"/>
    <row r="703" s="435" customFormat="1" x14ac:dyDescent="0.3"/>
    <row r="704" s="435" customFormat="1" x14ac:dyDescent="0.3"/>
    <row r="705" s="435" customFormat="1" x14ac:dyDescent="0.3"/>
    <row r="706" s="435" customFormat="1" x14ac:dyDescent="0.3"/>
    <row r="707" s="435" customFormat="1" x14ac:dyDescent="0.3"/>
    <row r="708" s="435" customFormat="1" x14ac:dyDescent="0.3"/>
    <row r="709" s="435" customFormat="1" x14ac:dyDescent="0.3"/>
    <row r="710" s="435" customFormat="1" x14ac:dyDescent="0.3"/>
    <row r="711" s="435" customFormat="1" x14ac:dyDescent="0.3"/>
    <row r="712" s="435" customFormat="1" x14ac:dyDescent="0.3"/>
    <row r="713" s="435" customFormat="1" x14ac:dyDescent="0.3"/>
    <row r="714" s="435" customFormat="1" x14ac:dyDescent="0.3"/>
    <row r="715" s="435" customFormat="1" x14ac:dyDescent="0.3"/>
    <row r="716" s="435" customFormat="1" x14ac:dyDescent="0.3"/>
    <row r="717" s="435" customFormat="1" x14ac:dyDescent="0.3"/>
    <row r="718" s="435" customFormat="1" x14ac:dyDescent="0.3"/>
    <row r="719" s="435" customFormat="1" x14ac:dyDescent="0.3"/>
    <row r="720" s="435" customFormat="1" x14ac:dyDescent="0.3"/>
    <row r="721" s="435" customFormat="1" x14ac:dyDescent="0.3"/>
    <row r="722" s="435" customFormat="1" x14ac:dyDescent="0.3"/>
    <row r="723" s="435" customFormat="1" x14ac:dyDescent="0.3"/>
    <row r="724" s="435" customFormat="1" x14ac:dyDescent="0.3"/>
    <row r="725" s="435" customFormat="1" x14ac:dyDescent="0.3"/>
    <row r="726" s="435" customFormat="1" x14ac:dyDescent="0.3"/>
    <row r="727" s="435" customFormat="1" x14ac:dyDescent="0.3"/>
    <row r="728" s="435" customFormat="1" x14ac:dyDescent="0.3"/>
    <row r="729" s="435" customFormat="1" x14ac:dyDescent="0.3"/>
    <row r="730" s="435" customFormat="1" x14ac:dyDescent="0.3"/>
    <row r="731" s="435" customFormat="1" x14ac:dyDescent="0.3"/>
    <row r="732" s="435" customFormat="1" x14ac:dyDescent="0.3"/>
    <row r="733" s="435" customFormat="1" x14ac:dyDescent="0.3"/>
    <row r="734" s="435" customFormat="1" x14ac:dyDescent="0.3"/>
    <row r="735" s="435" customFormat="1" x14ac:dyDescent="0.3"/>
    <row r="736" s="435" customFormat="1" x14ac:dyDescent="0.3"/>
    <row r="737" s="435" customFormat="1" x14ac:dyDescent="0.3"/>
    <row r="738" s="435" customFormat="1" x14ac:dyDescent="0.3"/>
    <row r="739" s="435" customFormat="1" x14ac:dyDescent="0.3"/>
    <row r="740" s="435" customFormat="1" x14ac:dyDescent="0.3"/>
    <row r="741" s="435" customFormat="1" x14ac:dyDescent="0.3"/>
    <row r="742" s="435" customFormat="1" x14ac:dyDescent="0.3"/>
    <row r="743" s="435" customFormat="1" x14ac:dyDescent="0.3"/>
    <row r="744" s="435" customFormat="1" x14ac:dyDescent="0.3"/>
    <row r="745" s="435" customFormat="1" x14ac:dyDescent="0.3"/>
    <row r="746" s="435" customFormat="1" x14ac:dyDescent="0.3"/>
    <row r="747" s="435" customFormat="1" x14ac:dyDescent="0.3"/>
    <row r="748" s="435" customFormat="1" x14ac:dyDescent="0.3"/>
    <row r="749" s="435" customFormat="1" x14ac:dyDescent="0.3"/>
    <row r="750" s="435" customFormat="1" x14ac:dyDescent="0.3"/>
    <row r="751" s="435" customFormat="1" x14ac:dyDescent="0.3"/>
    <row r="752" s="435" customFormat="1" x14ac:dyDescent="0.3"/>
    <row r="753" s="435" customFormat="1" x14ac:dyDescent="0.3"/>
    <row r="754" s="435" customFormat="1" x14ac:dyDescent="0.3"/>
    <row r="755" s="435" customFormat="1" x14ac:dyDescent="0.3"/>
    <row r="756" s="435" customFormat="1" x14ac:dyDescent="0.3"/>
    <row r="757" s="435" customFormat="1" x14ac:dyDescent="0.3"/>
    <row r="758" s="435" customFormat="1" x14ac:dyDescent="0.3"/>
    <row r="759" s="435" customFormat="1" x14ac:dyDescent="0.3"/>
    <row r="760" s="435" customFormat="1" x14ac:dyDescent="0.3"/>
    <row r="761" s="435" customFormat="1" x14ac:dyDescent="0.3"/>
    <row r="762" s="435" customFormat="1" x14ac:dyDescent="0.3"/>
    <row r="763" s="435" customFormat="1" x14ac:dyDescent="0.3"/>
    <row r="764" s="435" customFormat="1" x14ac:dyDescent="0.3"/>
    <row r="765" s="435" customFormat="1" x14ac:dyDescent="0.3"/>
    <row r="766" s="435" customFormat="1" x14ac:dyDescent="0.3"/>
    <row r="767" s="435" customFormat="1" x14ac:dyDescent="0.3"/>
    <row r="768" s="435" customFormat="1" x14ac:dyDescent="0.3"/>
    <row r="769" s="435" customFormat="1" x14ac:dyDescent="0.3"/>
    <row r="770" s="435" customFormat="1" x14ac:dyDescent="0.3"/>
    <row r="771" s="435" customFormat="1" x14ac:dyDescent="0.3"/>
    <row r="772" s="435" customFormat="1" x14ac:dyDescent="0.3"/>
    <row r="773" s="435" customFormat="1" x14ac:dyDescent="0.3"/>
    <row r="774" s="435" customFormat="1" x14ac:dyDescent="0.3"/>
    <row r="775" s="435" customFormat="1" x14ac:dyDescent="0.3"/>
    <row r="776" s="435" customFormat="1" x14ac:dyDescent="0.3"/>
    <row r="777" s="435" customFormat="1" x14ac:dyDescent="0.3"/>
    <row r="778" s="435" customFormat="1" x14ac:dyDescent="0.3"/>
    <row r="779" s="435" customFormat="1" x14ac:dyDescent="0.3"/>
    <row r="780" s="435" customFormat="1" x14ac:dyDescent="0.3"/>
    <row r="781" s="435" customFormat="1" x14ac:dyDescent="0.3"/>
    <row r="782" s="435" customFormat="1" x14ac:dyDescent="0.3"/>
    <row r="783" s="435" customFormat="1" x14ac:dyDescent="0.3"/>
    <row r="784" s="435" customFormat="1" x14ac:dyDescent="0.3"/>
    <row r="785" s="435" customFormat="1" x14ac:dyDescent="0.3"/>
    <row r="786" s="435" customFormat="1" x14ac:dyDescent="0.3"/>
    <row r="787" s="435" customFormat="1" x14ac:dyDescent="0.3"/>
    <row r="788" s="435" customFormat="1" x14ac:dyDescent="0.3"/>
    <row r="789" s="435" customFormat="1" x14ac:dyDescent="0.3"/>
    <row r="790" s="435" customFormat="1" x14ac:dyDescent="0.3"/>
    <row r="791" s="435" customFormat="1" x14ac:dyDescent="0.3"/>
    <row r="792" s="435" customFormat="1" x14ac:dyDescent="0.3"/>
    <row r="793" s="435" customFormat="1" x14ac:dyDescent="0.3"/>
    <row r="794" s="435" customFormat="1" x14ac:dyDescent="0.3"/>
    <row r="795" s="435" customFormat="1" x14ac:dyDescent="0.3"/>
    <row r="796" s="435" customFormat="1" x14ac:dyDescent="0.3"/>
    <row r="797" s="435" customFormat="1" x14ac:dyDescent="0.3"/>
    <row r="798" s="435" customFormat="1" x14ac:dyDescent="0.3"/>
    <row r="799" s="435" customFormat="1" x14ac:dyDescent="0.3"/>
    <row r="800" s="435" customFormat="1" x14ac:dyDescent="0.3"/>
    <row r="801" s="435" customFormat="1" x14ac:dyDescent="0.3"/>
    <row r="802" s="435" customFormat="1" x14ac:dyDescent="0.3"/>
    <row r="803" s="435" customFormat="1" x14ac:dyDescent="0.3"/>
    <row r="804" s="435" customFormat="1" x14ac:dyDescent="0.3"/>
    <row r="805" s="435" customFormat="1" x14ac:dyDescent="0.3"/>
    <row r="806" s="435" customFormat="1" x14ac:dyDescent="0.3"/>
    <row r="807" s="435" customFormat="1" x14ac:dyDescent="0.3"/>
    <row r="808" s="435" customFormat="1" x14ac:dyDescent="0.3"/>
    <row r="809" s="435" customFormat="1" x14ac:dyDescent="0.3"/>
    <row r="810" s="435" customFormat="1" x14ac:dyDescent="0.3"/>
    <row r="811" s="435" customFormat="1" x14ac:dyDescent="0.3"/>
    <row r="812" s="435" customFormat="1" x14ac:dyDescent="0.3"/>
    <row r="813" s="435" customFormat="1" x14ac:dyDescent="0.3"/>
    <row r="814" s="435" customFormat="1" x14ac:dyDescent="0.3"/>
    <row r="815" s="435" customFormat="1" x14ac:dyDescent="0.3"/>
    <row r="816" s="435" customFormat="1" x14ac:dyDescent="0.3"/>
    <row r="817" s="435" customFormat="1" x14ac:dyDescent="0.3"/>
    <row r="818" s="435" customFormat="1" x14ac:dyDescent="0.3"/>
    <row r="819" s="435" customFormat="1" x14ac:dyDescent="0.3"/>
    <row r="820" s="435" customFormat="1" x14ac:dyDescent="0.3"/>
    <row r="821" s="435" customFormat="1" x14ac:dyDescent="0.3"/>
    <row r="822" s="435" customFormat="1" x14ac:dyDescent="0.3"/>
    <row r="823" s="435" customFormat="1" x14ac:dyDescent="0.3"/>
    <row r="824" s="435" customFormat="1" x14ac:dyDescent="0.3"/>
    <row r="825" s="435" customFormat="1" x14ac:dyDescent="0.3"/>
    <row r="826" s="435" customFormat="1" x14ac:dyDescent="0.3"/>
    <row r="827" s="435" customFormat="1" x14ac:dyDescent="0.3"/>
    <row r="828" s="435" customFormat="1" x14ac:dyDescent="0.3"/>
    <row r="829" s="435" customFormat="1" x14ac:dyDescent="0.3"/>
    <row r="830" s="435" customFormat="1" x14ac:dyDescent="0.3"/>
    <row r="831" s="435" customFormat="1" x14ac:dyDescent="0.3"/>
    <row r="832" s="435" customFormat="1" x14ac:dyDescent="0.3"/>
    <row r="833" s="435" customFormat="1" x14ac:dyDescent="0.3"/>
    <row r="834" s="435" customFormat="1" x14ac:dyDescent="0.3"/>
    <row r="835" s="435" customFormat="1" x14ac:dyDescent="0.3"/>
    <row r="836" s="435" customFormat="1" x14ac:dyDescent="0.3"/>
    <row r="837" s="435" customFormat="1" x14ac:dyDescent="0.3"/>
    <row r="838" s="435" customFormat="1" x14ac:dyDescent="0.3"/>
    <row r="839" s="435" customFormat="1" x14ac:dyDescent="0.3"/>
    <row r="840" s="435" customFormat="1" x14ac:dyDescent="0.3"/>
    <row r="841" s="435" customFormat="1" x14ac:dyDescent="0.3"/>
    <row r="842" s="435" customFormat="1" x14ac:dyDescent="0.3"/>
    <row r="843" s="435" customFormat="1" x14ac:dyDescent="0.3"/>
    <row r="844" s="435" customFormat="1" x14ac:dyDescent="0.3"/>
    <row r="845" s="435" customFormat="1" x14ac:dyDescent="0.3"/>
    <row r="846" s="435" customFormat="1" x14ac:dyDescent="0.3"/>
    <row r="847" s="435" customFormat="1" x14ac:dyDescent="0.3"/>
    <row r="848" s="435" customFormat="1" x14ac:dyDescent="0.3"/>
    <row r="849" s="435" customFormat="1" x14ac:dyDescent="0.3"/>
    <row r="850" s="435" customFormat="1" x14ac:dyDescent="0.3"/>
    <row r="851" s="435" customFormat="1" x14ac:dyDescent="0.3"/>
    <row r="852" s="435" customFormat="1" x14ac:dyDescent="0.3"/>
    <row r="853" s="435" customFormat="1" x14ac:dyDescent="0.3"/>
    <row r="854" s="435" customFormat="1" x14ac:dyDescent="0.3"/>
    <row r="855" s="435" customFormat="1" x14ac:dyDescent="0.3"/>
    <row r="856" s="435" customFormat="1" x14ac:dyDescent="0.3"/>
    <row r="857" s="435" customFormat="1" x14ac:dyDescent="0.3"/>
    <row r="858" s="435" customFormat="1" x14ac:dyDescent="0.3"/>
    <row r="859" s="435" customFormat="1" x14ac:dyDescent="0.3"/>
    <row r="860" s="435" customFormat="1" x14ac:dyDescent="0.3"/>
    <row r="861" s="435" customFormat="1" x14ac:dyDescent="0.3"/>
    <row r="862" s="435" customFormat="1" x14ac:dyDescent="0.3"/>
    <row r="863" s="435" customFormat="1" x14ac:dyDescent="0.3"/>
    <row r="864" s="435" customFormat="1" x14ac:dyDescent="0.3"/>
    <row r="865" s="435" customFormat="1" x14ac:dyDescent="0.3"/>
    <row r="866" s="435" customFormat="1" x14ac:dyDescent="0.3"/>
    <row r="867" s="435" customFormat="1" x14ac:dyDescent="0.3"/>
    <row r="868" s="435" customFormat="1" x14ac:dyDescent="0.3"/>
    <row r="869" s="435" customFormat="1" x14ac:dyDescent="0.3"/>
    <row r="870" s="435" customFormat="1" x14ac:dyDescent="0.3"/>
    <row r="871" s="435" customFormat="1" x14ac:dyDescent="0.3"/>
    <row r="872" s="435" customFormat="1" x14ac:dyDescent="0.3"/>
    <row r="873" s="435" customFormat="1" x14ac:dyDescent="0.3"/>
    <row r="874" s="435" customFormat="1" x14ac:dyDescent="0.3"/>
    <row r="875" s="435" customFormat="1" x14ac:dyDescent="0.3"/>
    <row r="876" s="435" customFormat="1" x14ac:dyDescent="0.3"/>
    <row r="877" s="435" customFormat="1" x14ac:dyDescent="0.3"/>
    <row r="878" s="435" customFormat="1" x14ac:dyDescent="0.3"/>
    <row r="879" s="435" customFormat="1" x14ac:dyDescent="0.3"/>
    <row r="880" s="435" customFormat="1" x14ac:dyDescent="0.3"/>
    <row r="881" s="435" customFormat="1" x14ac:dyDescent="0.3"/>
    <row r="882" s="435" customFormat="1" x14ac:dyDescent="0.3"/>
    <row r="883" s="435" customFormat="1" x14ac:dyDescent="0.3"/>
    <row r="884" s="435" customFormat="1" x14ac:dyDescent="0.3"/>
    <row r="885" s="435" customFormat="1" x14ac:dyDescent="0.3"/>
    <row r="886" s="435" customFormat="1" x14ac:dyDescent="0.3"/>
    <row r="887" s="435" customFormat="1" x14ac:dyDescent="0.3"/>
    <row r="888" s="435" customFormat="1" x14ac:dyDescent="0.3"/>
    <row r="889" s="435" customFormat="1" x14ac:dyDescent="0.3"/>
    <row r="890" s="435" customFormat="1" x14ac:dyDescent="0.3"/>
    <row r="891" s="435" customFormat="1" x14ac:dyDescent="0.3"/>
    <row r="892" s="435" customFormat="1" x14ac:dyDescent="0.3"/>
    <row r="893" s="435" customFormat="1" x14ac:dyDescent="0.3"/>
    <row r="894" s="435" customFormat="1" x14ac:dyDescent="0.3"/>
    <row r="895" s="435" customFormat="1" x14ac:dyDescent="0.3"/>
    <row r="896" s="435" customFormat="1" x14ac:dyDescent="0.3"/>
    <row r="897" s="435" customFormat="1" x14ac:dyDescent="0.3"/>
    <row r="898" s="435" customFormat="1" x14ac:dyDescent="0.3"/>
    <row r="899" s="435" customFormat="1" x14ac:dyDescent="0.3"/>
    <row r="900" s="435" customFormat="1" x14ac:dyDescent="0.3"/>
    <row r="901" s="435" customFormat="1" x14ac:dyDescent="0.3"/>
    <row r="902" s="435" customFormat="1" x14ac:dyDescent="0.3"/>
    <row r="903" s="435" customFormat="1" x14ac:dyDescent="0.3"/>
    <row r="904" s="435" customFormat="1" x14ac:dyDescent="0.3"/>
    <row r="905" s="435" customFormat="1" x14ac:dyDescent="0.3"/>
    <row r="906" s="435" customFormat="1" x14ac:dyDescent="0.3"/>
    <row r="907" s="435" customFormat="1" x14ac:dyDescent="0.3"/>
    <row r="908" s="435" customFormat="1" x14ac:dyDescent="0.3"/>
    <row r="909" s="435" customFormat="1" x14ac:dyDescent="0.3"/>
    <row r="910" s="435" customFormat="1" x14ac:dyDescent="0.3"/>
    <row r="911" s="435" customFormat="1" x14ac:dyDescent="0.3"/>
    <row r="912" s="435" customFormat="1" x14ac:dyDescent="0.3"/>
    <row r="913" s="435" customFormat="1" x14ac:dyDescent="0.3"/>
    <row r="914" s="435" customFormat="1" x14ac:dyDescent="0.3"/>
    <row r="915" s="435" customFormat="1" x14ac:dyDescent="0.3"/>
    <row r="916" s="435" customFormat="1" x14ac:dyDescent="0.3"/>
    <row r="917" s="435" customFormat="1" x14ac:dyDescent="0.3"/>
    <row r="918" s="435" customFormat="1" x14ac:dyDescent="0.3"/>
    <row r="919" s="435" customFormat="1" x14ac:dyDescent="0.3"/>
    <row r="920" s="435" customFormat="1" x14ac:dyDescent="0.3"/>
    <row r="921" s="435" customFormat="1" x14ac:dyDescent="0.3"/>
    <row r="922" s="435" customFormat="1" x14ac:dyDescent="0.3"/>
    <row r="923" s="435" customFormat="1" x14ac:dyDescent="0.3"/>
    <row r="924" s="435" customFormat="1" x14ac:dyDescent="0.3"/>
    <row r="925" s="435" customFormat="1" x14ac:dyDescent="0.3"/>
    <row r="926" s="435" customFormat="1" x14ac:dyDescent="0.3"/>
    <row r="927" s="435" customFormat="1" x14ac:dyDescent="0.3"/>
    <row r="928" s="435" customFormat="1" x14ac:dyDescent="0.3"/>
    <row r="929" s="435" customFormat="1" x14ac:dyDescent="0.3"/>
    <row r="930" s="435" customFormat="1" x14ac:dyDescent="0.3"/>
    <row r="931" s="435" customFormat="1" x14ac:dyDescent="0.3"/>
    <row r="932" s="435" customFormat="1" x14ac:dyDescent="0.3"/>
    <row r="933" s="435" customFormat="1" x14ac:dyDescent="0.3"/>
    <row r="934" s="435" customFormat="1" x14ac:dyDescent="0.3"/>
    <row r="935" s="435" customFormat="1" x14ac:dyDescent="0.3"/>
    <row r="936" s="435" customFormat="1" x14ac:dyDescent="0.3"/>
    <row r="937" s="435" customFormat="1" x14ac:dyDescent="0.3"/>
    <row r="938" s="435" customFormat="1" x14ac:dyDescent="0.3"/>
    <row r="939" s="435" customFormat="1" x14ac:dyDescent="0.3"/>
    <row r="940" s="435" customFormat="1" x14ac:dyDescent="0.3"/>
    <row r="941" s="435" customFormat="1" x14ac:dyDescent="0.3"/>
    <row r="942" s="435" customFormat="1" x14ac:dyDescent="0.3"/>
    <row r="943" s="435" customFormat="1" x14ac:dyDescent="0.3"/>
    <row r="944" s="435" customFormat="1" x14ac:dyDescent="0.3"/>
    <row r="945" s="435" customFormat="1" x14ac:dyDescent="0.3"/>
    <row r="946" s="435" customFormat="1" x14ac:dyDescent="0.3"/>
    <row r="947" s="435" customFormat="1" x14ac:dyDescent="0.3"/>
    <row r="948" s="435" customFormat="1" x14ac:dyDescent="0.3"/>
    <row r="949" s="435" customFormat="1" x14ac:dyDescent="0.3"/>
    <row r="950" s="435" customFormat="1" x14ac:dyDescent="0.3"/>
    <row r="951" s="435" customFormat="1" x14ac:dyDescent="0.3"/>
    <row r="952" s="435" customFormat="1" x14ac:dyDescent="0.3"/>
    <row r="953" s="435" customFormat="1" x14ac:dyDescent="0.3"/>
    <row r="954" s="435" customFormat="1" x14ac:dyDescent="0.3"/>
    <row r="955" s="435" customFormat="1" x14ac:dyDescent="0.3"/>
    <row r="956" s="435" customFormat="1" x14ac:dyDescent="0.3"/>
    <row r="957" s="435" customFormat="1" x14ac:dyDescent="0.3"/>
    <row r="958" s="435" customFormat="1" x14ac:dyDescent="0.3"/>
    <row r="959" s="435" customFormat="1" x14ac:dyDescent="0.3"/>
    <row r="960" s="435" customFormat="1" x14ac:dyDescent="0.3"/>
    <row r="961" s="435" customFormat="1" x14ac:dyDescent="0.3"/>
    <row r="962" s="435" customFormat="1" x14ac:dyDescent="0.3"/>
    <row r="963" s="435" customFormat="1" x14ac:dyDescent="0.3"/>
    <row r="964" s="435" customFormat="1" x14ac:dyDescent="0.3"/>
    <row r="965" s="435" customFormat="1" x14ac:dyDescent="0.3"/>
    <row r="966" s="435" customFormat="1" x14ac:dyDescent="0.3"/>
    <row r="967" s="435" customFormat="1" x14ac:dyDescent="0.3"/>
    <row r="968" s="435" customFormat="1" x14ac:dyDescent="0.3"/>
    <row r="969" s="435" customFormat="1" x14ac:dyDescent="0.3"/>
    <row r="970" s="435" customFormat="1" x14ac:dyDescent="0.3"/>
    <row r="971" s="435" customFormat="1" x14ac:dyDescent="0.3"/>
    <row r="972" s="435" customFormat="1" x14ac:dyDescent="0.3"/>
    <row r="973" s="435" customFormat="1" x14ac:dyDescent="0.3"/>
    <row r="974" s="435" customFormat="1" x14ac:dyDescent="0.3"/>
    <row r="975" s="435" customFormat="1" x14ac:dyDescent="0.3"/>
    <row r="976" s="435" customFormat="1" x14ac:dyDescent="0.3"/>
    <row r="977" s="435" customFormat="1" x14ac:dyDescent="0.3"/>
    <row r="978" s="435" customFormat="1" x14ac:dyDescent="0.3"/>
    <row r="979" s="435" customFormat="1" x14ac:dyDescent="0.3"/>
    <row r="980" s="435" customFormat="1" x14ac:dyDescent="0.3"/>
    <row r="981" s="435" customFormat="1" x14ac:dyDescent="0.3"/>
    <row r="982" s="435" customFormat="1" x14ac:dyDescent="0.3"/>
    <row r="983" s="435" customFormat="1" x14ac:dyDescent="0.3"/>
    <row r="984" s="435" customFormat="1" x14ac:dyDescent="0.3"/>
    <row r="985" s="435" customFormat="1" x14ac:dyDescent="0.3"/>
    <row r="986" s="435" customFormat="1" x14ac:dyDescent="0.3"/>
    <row r="987" s="435" customFormat="1" x14ac:dyDescent="0.3"/>
    <row r="988" s="435" customFormat="1" x14ac:dyDescent="0.3"/>
    <row r="989" s="435" customFormat="1" x14ac:dyDescent="0.3"/>
    <row r="990" s="435" customFormat="1" x14ac:dyDescent="0.3"/>
    <row r="991" s="435" customFormat="1" x14ac:dyDescent="0.3"/>
    <row r="992" s="435" customFormat="1" x14ac:dyDescent="0.3"/>
    <row r="993" s="435" customFormat="1" x14ac:dyDescent="0.3"/>
    <row r="994" s="435" customFormat="1" x14ac:dyDescent="0.3"/>
    <row r="995" s="435" customFormat="1" x14ac:dyDescent="0.3"/>
    <row r="996" s="435" customFormat="1" x14ac:dyDescent="0.3"/>
    <row r="997" s="435" customFormat="1" x14ac:dyDescent="0.3"/>
    <row r="998" s="435" customFormat="1" x14ac:dyDescent="0.3"/>
    <row r="999" s="435" customFormat="1" x14ac:dyDescent="0.3"/>
    <row r="1000" s="435" customFormat="1" x14ac:dyDescent="0.3"/>
    <row r="1001" s="435" customFormat="1" x14ac:dyDescent="0.3"/>
    <row r="1002" s="435" customFormat="1" x14ac:dyDescent="0.3"/>
    <row r="1003" s="435" customFormat="1" x14ac:dyDescent="0.3"/>
    <row r="1004" s="435" customFormat="1" x14ac:dyDescent="0.3"/>
    <row r="1005" s="435" customFormat="1" x14ac:dyDescent="0.3"/>
    <row r="1006" s="435" customFormat="1" x14ac:dyDescent="0.3"/>
    <row r="1007" s="435" customFormat="1" x14ac:dyDescent="0.3"/>
    <row r="1008" s="435" customFormat="1" x14ac:dyDescent="0.3"/>
    <row r="1009" s="435" customFormat="1" x14ac:dyDescent="0.3"/>
    <row r="1010" s="435" customFormat="1" x14ac:dyDescent="0.3"/>
    <row r="1011" s="435" customFormat="1" x14ac:dyDescent="0.3"/>
    <row r="1012" s="435" customFormat="1" x14ac:dyDescent="0.3"/>
    <row r="1013" s="435" customFormat="1" x14ac:dyDescent="0.3"/>
    <row r="1014" s="435" customFormat="1" x14ac:dyDescent="0.3"/>
    <row r="1015" s="435" customFormat="1" x14ac:dyDescent="0.3"/>
    <row r="1016" s="435" customFormat="1" x14ac:dyDescent="0.3"/>
    <row r="1017" s="435" customFormat="1" x14ac:dyDescent="0.3"/>
    <row r="1018" s="435" customFormat="1" x14ac:dyDescent="0.3"/>
    <row r="1019" s="435" customFormat="1" x14ac:dyDescent="0.3"/>
    <row r="1020" s="435" customFormat="1" x14ac:dyDescent="0.3"/>
    <row r="1021" s="435" customFormat="1" x14ac:dyDescent="0.3"/>
    <row r="1022" s="435" customFormat="1" x14ac:dyDescent="0.3"/>
    <row r="1023" s="435" customFormat="1" x14ac:dyDescent="0.3"/>
    <row r="1024" s="435" customFormat="1" x14ac:dyDescent="0.3"/>
    <row r="1025" s="435" customFormat="1" x14ac:dyDescent="0.3"/>
    <row r="1026" s="435" customFormat="1" x14ac:dyDescent="0.3"/>
    <row r="1027" s="435" customFormat="1" x14ac:dyDescent="0.3"/>
    <row r="1028" s="435" customFormat="1" x14ac:dyDescent="0.3"/>
    <row r="1029" s="435" customFormat="1" x14ac:dyDescent="0.3"/>
    <row r="1030" s="435" customFormat="1" x14ac:dyDescent="0.3"/>
    <row r="1031" s="435" customFormat="1" x14ac:dyDescent="0.3"/>
    <row r="1032" s="435" customFormat="1" x14ac:dyDescent="0.3"/>
    <row r="1033" s="435" customFormat="1" x14ac:dyDescent="0.3"/>
    <row r="1034" s="435" customFormat="1" x14ac:dyDescent="0.3"/>
    <row r="1035" s="435" customFormat="1" x14ac:dyDescent="0.3"/>
    <row r="1036" s="435" customFormat="1" x14ac:dyDescent="0.3"/>
    <row r="1037" s="435" customFormat="1" x14ac:dyDescent="0.3"/>
    <row r="1038" s="435" customFormat="1" x14ac:dyDescent="0.3"/>
    <row r="1039" s="435" customFormat="1" x14ac:dyDescent="0.3"/>
    <row r="1040" s="435" customFormat="1" x14ac:dyDescent="0.3"/>
    <row r="1041" s="435" customFormat="1" x14ac:dyDescent="0.3"/>
    <row r="1042" s="435" customFormat="1" x14ac:dyDescent="0.3"/>
    <row r="1043" s="435" customFormat="1" x14ac:dyDescent="0.3"/>
    <row r="1044" s="435" customFormat="1" x14ac:dyDescent="0.3"/>
    <row r="1045" s="435" customFormat="1" x14ac:dyDescent="0.3"/>
    <row r="1046" s="435" customFormat="1" x14ac:dyDescent="0.3"/>
    <row r="1047" s="435" customFormat="1" x14ac:dyDescent="0.3"/>
    <row r="1048" s="435" customFormat="1" x14ac:dyDescent="0.3"/>
    <row r="1049" s="435" customFormat="1" x14ac:dyDescent="0.3"/>
    <row r="1050" s="435" customFormat="1" x14ac:dyDescent="0.3"/>
    <row r="1051" s="435" customFormat="1" x14ac:dyDescent="0.3"/>
    <row r="1052" s="435" customFormat="1" x14ac:dyDescent="0.3"/>
    <row r="1053" s="435" customFormat="1" x14ac:dyDescent="0.3"/>
    <row r="1054" s="435" customFormat="1" x14ac:dyDescent="0.3"/>
    <row r="1055" s="435" customFormat="1" x14ac:dyDescent="0.3"/>
    <row r="1056" s="435" customFormat="1" x14ac:dyDescent="0.3"/>
    <row r="1057" s="435" customFormat="1" x14ac:dyDescent="0.3"/>
    <row r="1058" s="435" customFormat="1" x14ac:dyDescent="0.3"/>
    <row r="1059" s="435" customFormat="1" x14ac:dyDescent="0.3"/>
    <row r="1060" s="435" customFormat="1" x14ac:dyDescent="0.3"/>
    <row r="1061" s="435" customFormat="1" x14ac:dyDescent="0.3"/>
    <row r="1062" s="435" customFormat="1" x14ac:dyDescent="0.3"/>
    <row r="1063" s="435" customFormat="1" x14ac:dyDescent="0.3"/>
    <row r="1064" s="435" customFormat="1" x14ac:dyDescent="0.3"/>
    <row r="1065" s="435" customFormat="1" x14ac:dyDescent="0.3"/>
    <row r="1066" s="435" customFormat="1" x14ac:dyDescent="0.3"/>
    <row r="1067" s="435" customFormat="1" x14ac:dyDescent="0.3"/>
    <row r="1068" s="435" customFormat="1" x14ac:dyDescent="0.3"/>
    <row r="1069" s="435" customFormat="1" x14ac:dyDescent="0.3"/>
    <row r="1070" s="435" customFormat="1" x14ac:dyDescent="0.3"/>
    <row r="1071" s="435" customFormat="1" x14ac:dyDescent="0.3"/>
    <row r="1072" s="435" customFormat="1" x14ac:dyDescent="0.3"/>
    <row r="1073" s="435" customFormat="1" x14ac:dyDescent="0.3"/>
    <row r="1074" s="435" customFormat="1" x14ac:dyDescent="0.3"/>
    <row r="1075" s="435" customFormat="1" x14ac:dyDescent="0.3"/>
    <row r="1076" s="435" customFormat="1" x14ac:dyDescent="0.3"/>
    <row r="1077" s="435" customFormat="1" x14ac:dyDescent="0.3"/>
    <row r="1078" s="435" customFormat="1" x14ac:dyDescent="0.3"/>
    <row r="1079" s="435" customFormat="1" x14ac:dyDescent="0.3"/>
    <row r="1080" s="435" customFormat="1" x14ac:dyDescent="0.3"/>
    <row r="1081" s="435" customFormat="1" x14ac:dyDescent="0.3"/>
    <row r="1082" s="435" customFormat="1" x14ac:dyDescent="0.3"/>
    <row r="1083" s="435" customFormat="1" x14ac:dyDescent="0.3"/>
    <row r="1084" s="435" customFormat="1" x14ac:dyDescent="0.3"/>
    <row r="1085" s="435" customFormat="1" x14ac:dyDescent="0.3"/>
    <row r="1086" s="435" customFormat="1" x14ac:dyDescent="0.3"/>
    <row r="1087" s="435" customFormat="1" x14ac:dyDescent="0.3"/>
    <row r="1088" s="435" customFormat="1" x14ac:dyDescent="0.3"/>
    <row r="1089" s="435" customFormat="1" x14ac:dyDescent="0.3"/>
    <row r="1090" s="435" customFormat="1" x14ac:dyDescent="0.3"/>
    <row r="1091" s="435" customFormat="1" x14ac:dyDescent="0.3"/>
    <row r="1092" s="435" customFormat="1" x14ac:dyDescent="0.3"/>
    <row r="1093" s="435" customFormat="1" x14ac:dyDescent="0.3"/>
    <row r="1094" s="435" customFormat="1" x14ac:dyDescent="0.3"/>
    <row r="1095" s="435" customFormat="1" x14ac:dyDescent="0.3"/>
    <row r="1096" s="435" customFormat="1" x14ac:dyDescent="0.3"/>
    <row r="1097" s="435" customFormat="1" x14ac:dyDescent="0.3"/>
    <row r="1098" s="435" customFormat="1" x14ac:dyDescent="0.3"/>
    <row r="1099" s="435" customFormat="1" x14ac:dyDescent="0.3"/>
    <row r="1100" s="435" customFormat="1" x14ac:dyDescent="0.3"/>
    <row r="1101" s="435" customFormat="1" x14ac:dyDescent="0.3"/>
    <row r="1102" s="435" customFormat="1" x14ac:dyDescent="0.3"/>
    <row r="1103" s="435" customFormat="1" x14ac:dyDescent="0.3"/>
    <row r="1104" s="435" customFormat="1" x14ac:dyDescent="0.3"/>
    <row r="1105" s="435" customFormat="1" x14ac:dyDescent="0.3"/>
    <row r="1106" s="435" customFormat="1" x14ac:dyDescent="0.3"/>
    <row r="1107" s="435" customFormat="1" x14ac:dyDescent="0.3"/>
    <row r="1108" s="435" customFormat="1" x14ac:dyDescent="0.3"/>
    <row r="1109" s="435" customFormat="1" x14ac:dyDescent="0.3"/>
    <row r="1110" s="435" customFormat="1" x14ac:dyDescent="0.3"/>
    <row r="1111" s="435" customFormat="1" x14ac:dyDescent="0.3"/>
    <row r="1112" s="435" customFormat="1" x14ac:dyDescent="0.3"/>
    <row r="1113" s="435" customFormat="1" x14ac:dyDescent="0.3"/>
    <row r="1114" s="435" customFormat="1" x14ac:dyDescent="0.3"/>
    <row r="1115" s="435" customFormat="1" x14ac:dyDescent="0.3"/>
    <row r="1116" s="435" customFormat="1" x14ac:dyDescent="0.3"/>
    <row r="1117" s="435" customFormat="1" x14ac:dyDescent="0.3"/>
    <row r="1118" s="435" customFormat="1" x14ac:dyDescent="0.3"/>
    <row r="1119" s="435" customFormat="1" x14ac:dyDescent="0.3"/>
    <row r="1120" s="435" customFormat="1" x14ac:dyDescent="0.3"/>
    <row r="1121" s="435" customFormat="1" x14ac:dyDescent="0.3"/>
    <row r="1122" s="435" customFormat="1" x14ac:dyDescent="0.3"/>
    <row r="1123" s="435" customFormat="1" x14ac:dyDescent="0.3"/>
    <row r="1124" s="435" customFormat="1" x14ac:dyDescent="0.3"/>
    <row r="1125" s="435" customFormat="1" x14ac:dyDescent="0.3"/>
    <row r="1126" s="435" customFormat="1" x14ac:dyDescent="0.3"/>
    <row r="1127" s="435" customFormat="1" x14ac:dyDescent="0.3"/>
    <row r="1128" s="435" customFormat="1" x14ac:dyDescent="0.3"/>
    <row r="1129" s="435" customFormat="1" x14ac:dyDescent="0.3"/>
    <row r="1130" s="435" customFormat="1" x14ac:dyDescent="0.3"/>
    <row r="1131" s="435" customFormat="1" x14ac:dyDescent="0.3"/>
    <row r="1132" s="435" customFormat="1" x14ac:dyDescent="0.3"/>
    <row r="1133" s="435" customFormat="1" x14ac:dyDescent="0.3"/>
    <row r="1134" s="435" customFormat="1" x14ac:dyDescent="0.3"/>
    <row r="1135" s="435" customFormat="1" x14ac:dyDescent="0.3"/>
    <row r="1136" s="435" customFormat="1" x14ac:dyDescent="0.3"/>
    <row r="1137" s="435" customFormat="1" x14ac:dyDescent="0.3"/>
    <row r="1138" s="435" customFormat="1" x14ac:dyDescent="0.3"/>
    <row r="1139" s="435" customFormat="1" x14ac:dyDescent="0.3"/>
    <row r="1140" s="435" customFormat="1" x14ac:dyDescent="0.3"/>
    <row r="1141" s="435" customFormat="1" x14ac:dyDescent="0.3"/>
    <row r="1142" s="435" customFormat="1" x14ac:dyDescent="0.3"/>
    <row r="1143" s="435" customFormat="1" x14ac:dyDescent="0.3"/>
    <row r="1144" s="435" customFormat="1" x14ac:dyDescent="0.3"/>
    <row r="1145" s="435" customFormat="1" x14ac:dyDescent="0.3"/>
    <row r="1146" s="435" customFormat="1" x14ac:dyDescent="0.3"/>
    <row r="1147" s="435" customFormat="1" x14ac:dyDescent="0.3"/>
    <row r="1148" s="435" customFormat="1" x14ac:dyDescent="0.3"/>
    <row r="1149" s="435" customFormat="1" x14ac:dyDescent="0.3"/>
    <row r="1150" s="435" customFormat="1" x14ac:dyDescent="0.3"/>
    <row r="1151" s="435" customFormat="1" x14ac:dyDescent="0.3"/>
    <row r="1152" s="435" customFormat="1" x14ac:dyDescent="0.3"/>
    <row r="1153" s="435" customFormat="1" x14ac:dyDescent="0.3"/>
    <row r="1154" s="435" customFormat="1" x14ac:dyDescent="0.3"/>
    <row r="1155" s="435" customFormat="1" x14ac:dyDescent="0.3"/>
    <row r="1156" s="435" customFormat="1" x14ac:dyDescent="0.3"/>
    <row r="1157" s="435" customFormat="1" x14ac:dyDescent="0.3"/>
    <row r="1158" s="435" customFormat="1" x14ac:dyDescent="0.3"/>
    <row r="1159" s="435" customFormat="1" x14ac:dyDescent="0.3"/>
    <row r="1160" s="435" customFormat="1" x14ac:dyDescent="0.3"/>
    <row r="1161" s="435" customFormat="1" x14ac:dyDescent="0.3"/>
    <row r="1162" s="435" customFormat="1" x14ac:dyDescent="0.3"/>
    <row r="1163" s="435" customFormat="1" x14ac:dyDescent="0.3"/>
    <row r="1164" s="435" customFormat="1" x14ac:dyDescent="0.3"/>
    <row r="1165" s="435" customFormat="1" x14ac:dyDescent="0.3"/>
    <row r="1166" s="435" customFormat="1" x14ac:dyDescent="0.3"/>
    <row r="1167" s="435" customFormat="1" x14ac:dyDescent="0.3"/>
    <row r="1168" s="435" customFormat="1" x14ac:dyDescent="0.3"/>
    <row r="1169" s="435" customFormat="1" x14ac:dyDescent="0.3"/>
    <row r="1170" s="435" customFormat="1" x14ac:dyDescent="0.3"/>
    <row r="1171" s="435" customFormat="1" x14ac:dyDescent="0.3"/>
    <row r="1172" s="435" customFormat="1" x14ac:dyDescent="0.3"/>
    <row r="1173" s="435" customFormat="1" x14ac:dyDescent="0.3"/>
    <row r="1174" s="435" customFormat="1" x14ac:dyDescent="0.3"/>
    <row r="1175" s="435" customFormat="1" x14ac:dyDescent="0.3"/>
    <row r="1176" s="435" customFormat="1" x14ac:dyDescent="0.3"/>
    <row r="1177" s="435" customFormat="1" x14ac:dyDescent="0.3"/>
    <row r="1178" s="435" customFormat="1" x14ac:dyDescent="0.3"/>
    <row r="1179" s="435" customFormat="1" x14ac:dyDescent="0.3"/>
    <row r="1180" s="435" customFormat="1" x14ac:dyDescent="0.3"/>
    <row r="1181" s="435" customFormat="1" x14ac:dyDescent="0.3"/>
    <row r="1182" s="435" customFormat="1" x14ac:dyDescent="0.3"/>
    <row r="1183" s="435" customFormat="1" x14ac:dyDescent="0.3"/>
    <row r="1184" s="435" customFormat="1" x14ac:dyDescent="0.3"/>
    <row r="1185" s="435" customFormat="1" x14ac:dyDescent="0.3"/>
    <row r="1186" s="435" customFormat="1" x14ac:dyDescent="0.3"/>
    <row r="1187" s="435" customFormat="1" x14ac:dyDescent="0.3"/>
    <row r="1188" s="435" customFormat="1" x14ac:dyDescent="0.3"/>
    <row r="1189" s="435" customFormat="1" x14ac:dyDescent="0.3"/>
    <row r="1190" s="435" customFormat="1" x14ac:dyDescent="0.3"/>
    <row r="1191" s="435" customFormat="1" x14ac:dyDescent="0.3"/>
    <row r="1192" s="435" customFormat="1" x14ac:dyDescent="0.3"/>
    <row r="1193" s="435" customFormat="1" x14ac:dyDescent="0.3"/>
    <row r="1194" s="435" customFormat="1" x14ac:dyDescent="0.3"/>
    <row r="1195" s="435" customFormat="1" x14ac:dyDescent="0.3"/>
    <row r="1196" s="435" customFormat="1" x14ac:dyDescent="0.3"/>
    <row r="1197" s="435" customFormat="1" x14ac:dyDescent="0.3"/>
    <row r="1198" s="435" customFormat="1" x14ac:dyDescent="0.3"/>
    <row r="1199" s="435" customFormat="1" x14ac:dyDescent="0.3"/>
    <row r="1200" s="435" customFormat="1" x14ac:dyDescent="0.3"/>
    <row r="1201" s="435" customFormat="1" x14ac:dyDescent="0.3"/>
    <row r="1202" s="435" customFormat="1" x14ac:dyDescent="0.3"/>
    <row r="1203" s="435" customFormat="1" x14ac:dyDescent="0.3"/>
    <row r="1204" s="435" customFormat="1" x14ac:dyDescent="0.3"/>
    <row r="1205" s="435" customFormat="1" x14ac:dyDescent="0.3"/>
    <row r="1206" s="435" customFormat="1" x14ac:dyDescent="0.3"/>
    <row r="1207" s="435" customFormat="1" x14ac:dyDescent="0.3"/>
    <row r="1208" s="435" customFormat="1" x14ac:dyDescent="0.3"/>
    <row r="1209" s="435" customFormat="1" x14ac:dyDescent="0.3"/>
    <row r="1210" s="435" customFormat="1" x14ac:dyDescent="0.3"/>
    <row r="1211" s="435" customFormat="1" x14ac:dyDescent="0.3"/>
    <row r="1212" s="435" customFormat="1" x14ac:dyDescent="0.3"/>
    <row r="1213" s="435" customFormat="1" x14ac:dyDescent="0.3"/>
    <row r="1214" s="435" customFormat="1" x14ac:dyDescent="0.3"/>
    <row r="1215" s="435" customFormat="1" x14ac:dyDescent="0.3"/>
    <row r="1216" s="435" customFormat="1" x14ac:dyDescent="0.3"/>
    <row r="1217" s="435" customFormat="1" x14ac:dyDescent="0.3"/>
    <row r="1218" s="435" customFormat="1" x14ac:dyDescent="0.3"/>
    <row r="1219" s="435" customFormat="1" x14ac:dyDescent="0.3"/>
    <row r="1220" s="435" customFormat="1" x14ac:dyDescent="0.3"/>
    <row r="1221" s="435" customFormat="1" x14ac:dyDescent="0.3"/>
    <row r="1222" s="435" customFormat="1" x14ac:dyDescent="0.3"/>
    <row r="1223" s="435" customFormat="1" x14ac:dyDescent="0.3"/>
    <row r="1224" s="435" customFormat="1" x14ac:dyDescent="0.3"/>
    <row r="1225" s="435" customFormat="1" x14ac:dyDescent="0.3"/>
    <row r="1226" s="435" customFormat="1" x14ac:dyDescent="0.3"/>
    <row r="1227" s="435" customFormat="1" x14ac:dyDescent="0.3"/>
    <row r="1228" s="435" customFormat="1" x14ac:dyDescent="0.3"/>
    <row r="1229" s="435" customFormat="1" x14ac:dyDescent="0.3"/>
    <row r="1230" s="435" customFormat="1" x14ac:dyDescent="0.3"/>
    <row r="1231" s="435" customFormat="1" x14ac:dyDescent="0.3"/>
    <row r="1232" s="435" customFormat="1" x14ac:dyDescent="0.3"/>
    <row r="1233" s="435" customFormat="1" x14ac:dyDescent="0.3"/>
    <row r="1234" s="435" customFormat="1" x14ac:dyDescent="0.3"/>
    <row r="1235" s="435" customFormat="1" x14ac:dyDescent="0.3"/>
    <row r="1236" s="435" customFormat="1" x14ac:dyDescent="0.3"/>
    <row r="1237" s="435" customFormat="1" x14ac:dyDescent="0.3"/>
    <row r="1238" s="435" customFormat="1" x14ac:dyDescent="0.3"/>
    <row r="1239" s="435" customFormat="1" x14ac:dyDescent="0.3"/>
    <row r="1240" s="435" customFormat="1" x14ac:dyDescent="0.3"/>
    <row r="1241" s="435" customFormat="1" x14ac:dyDescent="0.3"/>
    <row r="1242" s="435" customFormat="1" x14ac:dyDescent="0.3"/>
    <row r="1243" s="435" customFormat="1" x14ac:dyDescent="0.3"/>
    <row r="1244" s="435" customFormat="1" x14ac:dyDescent="0.3"/>
    <row r="1245" s="435" customFormat="1" x14ac:dyDescent="0.3"/>
    <row r="1246" s="435" customFormat="1" x14ac:dyDescent="0.3"/>
    <row r="1247" s="435" customFormat="1" x14ac:dyDescent="0.3"/>
    <row r="1248" s="435" customFormat="1" x14ac:dyDescent="0.3"/>
    <row r="1249" s="435" customFormat="1" x14ac:dyDescent="0.3"/>
    <row r="1250" s="435" customFormat="1" x14ac:dyDescent="0.3"/>
    <row r="1251" s="435" customFormat="1" x14ac:dyDescent="0.3"/>
    <row r="1252" s="435" customFormat="1" x14ac:dyDescent="0.3"/>
    <row r="1253" s="435" customFormat="1" x14ac:dyDescent="0.3"/>
    <row r="1254" s="435" customFormat="1" x14ac:dyDescent="0.3"/>
    <row r="1255" s="435" customFormat="1" x14ac:dyDescent="0.3"/>
    <row r="1256" s="435" customFormat="1" x14ac:dyDescent="0.3"/>
    <row r="1257" s="435" customFormat="1" x14ac:dyDescent="0.3"/>
    <row r="1258" s="435" customFormat="1" x14ac:dyDescent="0.3"/>
    <row r="1259" s="435" customFormat="1" x14ac:dyDescent="0.3"/>
    <row r="1260" s="435" customFormat="1" x14ac:dyDescent="0.3"/>
    <row r="1261" s="435" customFormat="1" x14ac:dyDescent="0.3"/>
    <row r="1262" s="435" customFormat="1" x14ac:dyDescent="0.3"/>
    <row r="1263" s="435" customFormat="1" x14ac:dyDescent="0.3"/>
    <row r="1264" s="435" customFormat="1" x14ac:dyDescent="0.3"/>
    <row r="1265" s="435" customFormat="1" x14ac:dyDescent="0.3"/>
    <row r="1266" s="435" customFormat="1" x14ac:dyDescent="0.3"/>
    <row r="1267" s="435" customFormat="1" x14ac:dyDescent="0.3"/>
    <row r="1268" s="435" customFormat="1" x14ac:dyDescent="0.3"/>
    <row r="1269" s="435" customFormat="1" x14ac:dyDescent="0.3"/>
    <row r="1270" s="435" customFormat="1" x14ac:dyDescent="0.3"/>
    <row r="1271" s="435" customFormat="1" x14ac:dyDescent="0.3"/>
    <row r="1272" s="435" customFormat="1" x14ac:dyDescent="0.3"/>
    <row r="1273" s="435" customFormat="1" x14ac:dyDescent="0.3"/>
    <row r="1274" s="435" customFormat="1" x14ac:dyDescent="0.3"/>
    <row r="1275" s="435" customFormat="1" x14ac:dyDescent="0.3"/>
    <row r="1276" s="435" customFormat="1" x14ac:dyDescent="0.3"/>
    <row r="1277" s="435" customFormat="1" x14ac:dyDescent="0.3"/>
    <row r="1278" s="435" customFormat="1" x14ac:dyDescent="0.3"/>
    <row r="1279" s="435" customFormat="1" x14ac:dyDescent="0.3"/>
    <row r="1280" s="435" customFormat="1" x14ac:dyDescent="0.3"/>
    <row r="1281" s="435" customFormat="1" x14ac:dyDescent="0.3"/>
    <row r="1282" s="435" customFormat="1" x14ac:dyDescent="0.3"/>
    <row r="1283" s="435" customFormat="1" x14ac:dyDescent="0.3"/>
    <row r="1284" s="435" customFormat="1" x14ac:dyDescent="0.3"/>
    <row r="1285" s="435" customFormat="1" x14ac:dyDescent="0.3"/>
    <row r="1286" s="435" customFormat="1" x14ac:dyDescent="0.3"/>
    <row r="1287" s="435" customFormat="1" x14ac:dyDescent="0.3"/>
    <row r="1288" s="435" customFormat="1" x14ac:dyDescent="0.3"/>
    <row r="1289" s="435" customFormat="1" x14ac:dyDescent="0.3"/>
    <row r="1290" s="435" customFormat="1" x14ac:dyDescent="0.3"/>
    <row r="1291" s="435" customFormat="1" x14ac:dyDescent="0.3"/>
    <row r="1292" s="435" customFormat="1" x14ac:dyDescent="0.3"/>
    <row r="1293" s="435" customFormat="1" x14ac:dyDescent="0.3"/>
    <row r="1294" s="435" customFormat="1" x14ac:dyDescent="0.3"/>
    <row r="1295" s="435" customFormat="1" x14ac:dyDescent="0.3"/>
    <row r="1296" s="435" customFormat="1" x14ac:dyDescent="0.3"/>
    <row r="1297" s="435" customFormat="1" x14ac:dyDescent="0.3"/>
    <row r="1298" s="435" customFormat="1" x14ac:dyDescent="0.3"/>
    <row r="1299" s="435" customFormat="1" x14ac:dyDescent="0.3"/>
    <row r="1300" s="435" customFormat="1" x14ac:dyDescent="0.3"/>
    <row r="1301" s="435" customFormat="1" x14ac:dyDescent="0.3"/>
    <row r="1302" s="435" customFormat="1" x14ac:dyDescent="0.3"/>
    <row r="1303" s="435" customFormat="1" x14ac:dyDescent="0.3"/>
    <row r="1304" s="435" customFormat="1" x14ac:dyDescent="0.3"/>
    <row r="1305" s="435" customFormat="1" x14ac:dyDescent="0.3"/>
    <row r="1306" s="435" customFormat="1" x14ac:dyDescent="0.3"/>
    <row r="1307" s="435" customFormat="1" x14ac:dyDescent="0.3"/>
    <row r="1308" s="435" customFormat="1" x14ac:dyDescent="0.3"/>
    <row r="1309" s="435" customFormat="1" x14ac:dyDescent="0.3"/>
    <row r="1310" s="435" customFormat="1" x14ac:dyDescent="0.3"/>
    <row r="1311" s="435" customFormat="1" x14ac:dyDescent="0.3"/>
    <row r="1312" s="435" customFormat="1" x14ac:dyDescent="0.3"/>
    <row r="1313" s="435" customFormat="1" x14ac:dyDescent="0.3"/>
    <row r="1314" s="435" customFormat="1" x14ac:dyDescent="0.3"/>
    <row r="1315" s="435" customFormat="1" x14ac:dyDescent="0.3"/>
    <row r="1316" s="435" customFormat="1" x14ac:dyDescent="0.3"/>
    <row r="1317" s="435" customFormat="1" x14ac:dyDescent="0.3"/>
    <row r="1318" s="435" customFormat="1" x14ac:dyDescent="0.3"/>
    <row r="1319" s="435" customFormat="1" x14ac:dyDescent="0.3"/>
    <row r="1320" s="435" customFormat="1" x14ac:dyDescent="0.3"/>
    <row r="1321" s="435" customFormat="1" x14ac:dyDescent="0.3"/>
    <row r="1322" s="435" customFormat="1" x14ac:dyDescent="0.3"/>
    <row r="1323" s="435" customFormat="1" x14ac:dyDescent="0.3"/>
    <row r="1324" s="435" customFormat="1" x14ac:dyDescent="0.3"/>
    <row r="1325" s="435" customFormat="1" x14ac:dyDescent="0.3"/>
    <row r="1326" s="435" customFormat="1" x14ac:dyDescent="0.3"/>
    <row r="1327" s="435" customFormat="1" x14ac:dyDescent="0.3"/>
    <row r="1328" s="435" customFormat="1" x14ac:dyDescent="0.3"/>
    <row r="1329" s="435" customFormat="1" x14ac:dyDescent="0.3"/>
    <row r="1330" s="435" customFormat="1" x14ac:dyDescent="0.3"/>
    <row r="1331" s="435" customFormat="1" x14ac:dyDescent="0.3"/>
    <row r="1332" s="435" customFormat="1" x14ac:dyDescent="0.3"/>
    <row r="1333" s="435" customFormat="1" x14ac:dyDescent="0.3"/>
    <row r="1334" s="435" customFormat="1" x14ac:dyDescent="0.3"/>
    <row r="1335" s="435" customFormat="1" x14ac:dyDescent="0.3"/>
    <row r="1336" s="435" customFormat="1" x14ac:dyDescent="0.3"/>
    <row r="1337" s="435" customFormat="1" x14ac:dyDescent="0.3"/>
    <row r="1338" s="435" customFormat="1" x14ac:dyDescent="0.3"/>
    <row r="1339" s="435" customFormat="1" x14ac:dyDescent="0.3"/>
    <row r="1340" s="435" customFormat="1" x14ac:dyDescent="0.3"/>
    <row r="1341" s="435" customFormat="1" x14ac:dyDescent="0.3"/>
    <row r="1342" s="435" customFormat="1" x14ac:dyDescent="0.3"/>
    <row r="1343" s="435" customFormat="1" x14ac:dyDescent="0.3"/>
    <row r="1344" s="435" customFormat="1" x14ac:dyDescent="0.3"/>
    <row r="1345" s="435" customFormat="1" x14ac:dyDescent="0.3"/>
    <row r="1346" s="435" customFormat="1" x14ac:dyDescent="0.3"/>
    <row r="1347" s="435" customFormat="1" x14ac:dyDescent="0.3"/>
    <row r="1348" s="435" customFormat="1" x14ac:dyDescent="0.3"/>
    <row r="1349" s="435" customFormat="1" x14ac:dyDescent="0.3"/>
    <row r="1350" s="435" customFormat="1" x14ac:dyDescent="0.3"/>
    <row r="1351" s="435" customFormat="1" x14ac:dyDescent="0.3"/>
    <row r="1352" s="435" customFormat="1" x14ac:dyDescent="0.3"/>
    <row r="1353" s="435" customFormat="1" x14ac:dyDescent="0.3"/>
    <row r="1354" s="435" customFormat="1" x14ac:dyDescent="0.3"/>
    <row r="1355" s="435" customFormat="1" x14ac:dyDescent="0.3"/>
    <row r="1356" s="435" customFormat="1" x14ac:dyDescent="0.3"/>
    <row r="1357" s="435" customFormat="1" x14ac:dyDescent="0.3"/>
    <row r="1358" s="435" customFormat="1" x14ac:dyDescent="0.3"/>
    <row r="1359" s="435" customFormat="1" x14ac:dyDescent="0.3"/>
    <row r="1360" s="435" customFormat="1" x14ac:dyDescent="0.3"/>
    <row r="1361" s="435" customFormat="1" x14ac:dyDescent="0.3"/>
    <row r="1362" s="435" customFormat="1" x14ac:dyDescent="0.3"/>
    <row r="1363" s="435" customFormat="1" x14ac:dyDescent="0.3"/>
    <row r="1364" s="435" customFormat="1" x14ac:dyDescent="0.3"/>
    <row r="1365" s="435" customFormat="1" x14ac:dyDescent="0.3"/>
    <row r="1366" s="435" customFormat="1" x14ac:dyDescent="0.3"/>
    <row r="1367" s="435" customFormat="1" x14ac:dyDescent="0.3"/>
    <row r="1368" s="435" customFormat="1" x14ac:dyDescent="0.3"/>
    <row r="1369" s="435" customFormat="1" x14ac:dyDescent="0.3"/>
    <row r="1370" s="435" customFormat="1" x14ac:dyDescent="0.3"/>
    <row r="1371" s="435" customFormat="1" x14ac:dyDescent="0.3"/>
    <row r="1372" s="435" customFormat="1" x14ac:dyDescent="0.3"/>
    <row r="1373" s="435" customFormat="1" x14ac:dyDescent="0.3"/>
    <row r="1374" s="435" customFormat="1" x14ac:dyDescent="0.3"/>
    <row r="1375" s="435" customFormat="1" x14ac:dyDescent="0.3"/>
    <row r="1376" s="435" customFormat="1" x14ac:dyDescent="0.3"/>
    <row r="1377" s="435" customFormat="1" x14ac:dyDescent="0.3"/>
    <row r="1378" s="435" customFormat="1" x14ac:dyDescent="0.3"/>
    <row r="1379" s="435" customFormat="1" x14ac:dyDescent="0.3"/>
    <row r="1380" s="435" customFormat="1" x14ac:dyDescent="0.3"/>
    <row r="1381" s="435" customFormat="1" x14ac:dyDescent="0.3"/>
    <row r="1382" s="435" customFormat="1" x14ac:dyDescent="0.3"/>
    <row r="1383" s="435" customFormat="1" x14ac:dyDescent="0.3"/>
    <row r="1384" s="435" customFormat="1" x14ac:dyDescent="0.3"/>
    <row r="1385" s="435" customFormat="1" x14ac:dyDescent="0.3"/>
    <row r="1386" s="435" customFormat="1" x14ac:dyDescent="0.3"/>
    <row r="1387" s="435" customFormat="1" x14ac:dyDescent="0.3"/>
    <row r="1388" s="435" customFormat="1" x14ac:dyDescent="0.3"/>
    <row r="1389" s="435" customFormat="1" x14ac:dyDescent="0.3"/>
    <row r="1390" s="435" customFormat="1" x14ac:dyDescent="0.3"/>
    <row r="1391" s="435" customFormat="1" x14ac:dyDescent="0.3"/>
    <row r="1392" s="435" customFormat="1" x14ac:dyDescent="0.3"/>
    <row r="1393" s="435" customFormat="1" x14ac:dyDescent="0.3"/>
    <row r="1394" s="435" customFormat="1" x14ac:dyDescent="0.3"/>
    <row r="1395" s="435" customFormat="1" x14ac:dyDescent="0.3"/>
    <row r="1396" s="435" customFormat="1" x14ac:dyDescent="0.3"/>
    <row r="1397" s="435" customFormat="1" x14ac:dyDescent="0.3"/>
    <row r="1398" s="435" customFormat="1" x14ac:dyDescent="0.3"/>
    <row r="1399" s="435" customFormat="1" x14ac:dyDescent="0.3"/>
    <row r="1400" s="435" customFormat="1" x14ac:dyDescent="0.3"/>
    <row r="1401" s="435" customFormat="1" x14ac:dyDescent="0.3"/>
    <row r="1402" s="435" customFormat="1" x14ac:dyDescent="0.3"/>
    <row r="1403" s="435" customFormat="1" x14ac:dyDescent="0.3"/>
    <row r="1404" s="435" customFormat="1" x14ac:dyDescent="0.3"/>
    <row r="1405" s="435" customFormat="1" x14ac:dyDescent="0.3"/>
    <row r="1406" s="435" customFormat="1" x14ac:dyDescent="0.3"/>
    <row r="1407" s="435" customFormat="1" x14ac:dyDescent="0.3"/>
    <row r="1408" s="435" customFormat="1" x14ac:dyDescent="0.3"/>
    <row r="1409" s="435" customFormat="1" x14ac:dyDescent="0.3"/>
    <row r="1410" s="435" customFormat="1" x14ac:dyDescent="0.3"/>
    <row r="1411" s="435" customFormat="1" x14ac:dyDescent="0.3"/>
    <row r="1412" s="435" customFormat="1" x14ac:dyDescent="0.3"/>
    <row r="1413" s="435" customFormat="1" x14ac:dyDescent="0.3"/>
    <row r="1414" s="435" customFormat="1" x14ac:dyDescent="0.3"/>
    <row r="1415" s="435" customFormat="1" x14ac:dyDescent="0.3"/>
    <row r="1416" s="435" customFormat="1" x14ac:dyDescent="0.3"/>
    <row r="1417" s="435" customFormat="1" x14ac:dyDescent="0.3"/>
    <row r="1418" s="435" customFormat="1" x14ac:dyDescent="0.3"/>
    <row r="1419" s="435" customFormat="1" x14ac:dyDescent="0.3"/>
    <row r="1420" s="435" customFormat="1" x14ac:dyDescent="0.3"/>
    <row r="1421" s="435" customFormat="1" x14ac:dyDescent="0.3"/>
    <row r="1422" s="435" customFormat="1" x14ac:dyDescent="0.3"/>
    <row r="1423" s="435" customFormat="1" x14ac:dyDescent="0.3"/>
    <row r="1424" s="435" customFormat="1" x14ac:dyDescent="0.3"/>
    <row r="1425" s="435" customFormat="1" x14ac:dyDescent="0.3"/>
    <row r="1426" s="435" customFormat="1" x14ac:dyDescent="0.3"/>
    <row r="1427" s="435" customFormat="1" x14ac:dyDescent="0.3"/>
    <row r="1428" s="435" customFormat="1" x14ac:dyDescent="0.3"/>
    <row r="1429" s="435" customFormat="1" x14ac:dyDescent="0.3"/>
    <row r="1430" s="435" customFormat="1" x14ac:dyDescent="0.3"/>
    <row r="1431" s="435" customFormat="1" x14ac:dyDescent="0.3"/>
    <row r="1432" s="435" customFormat="1" x14ac:dyDescent="0.3"/>
    <row r="1433" s="435" customFormat="1" x14ac:dyDescent="0.3"/>
    <row r="1434" s="435" customFormat="1" x14ac:dyDescent="0.3"/>
    <row r="1435" s="435" customFormat="1" x14ac:dyDescent="0.3"/>
    <row r="1436" s="435" customFormat="1" x14ac:dyDescent="0.3"/>
    <row r="1437" s="435" customFormat="1" x14ac:dyDescent="0.3"/>
    <row r="1438" s="435" customFormat="1" x14ac:dyDescent="0.3"/>
    <row r="1439" s="435" customFormat="1" x14ac:dyDescent="0.3"/>
    <row r="1440" s="435" customFormat="1" x14ac:dyDescent="0.3"/>
    <row r="1441" s="435" customFormat="1" x14ac:dyDescent="0.3"/>
    <row r="1442" s="435" customFormat="1" x14ac:dyDescent="0.3"/>
    <row r="1443" s="435" customFormat="1" x14ac:dyDescent="0.3"/>
    <row r="1444" s="435" customFormat="1" x14ac:dyDescent="0.3"/>
    <row r="1445" s="435" customFormat="1" x14ac:dyDescent="0.3"/>
    <row r="1446" s="435" customFormat="1" x14ac:dyDescent="0.3"/>
    <row r="1447" s="435" customFormat="1" x14ac:dyDescent="0.3"/>
    <row r="1448" s="435" customFormat="1" x14ac:dyDescent="0.3"/>
    <row r="1449" s="435" customFormat="1" x14ac:dyDescent="0.3"/>
    <row r="1450" s="435" customFormat="1" x14ac:dyDescent="0.3"/>
    <row r="1451" s="435" customFormat="1" x14ac:dyDescent="0.3"/>
    <row r="1452" s="435" customFormat="1" x14ac:dyDescent="0.3"/>
    <row r="1453" s="435" customFormat="1" x14ac:dyDescent="0.3"/>
    <row r="1454" s="435" customFormat="1" x14ac:dyDescent="0.3"/>
    <row r="1455" s="435" customFormat="1" x14ac:dyDescent="0.3"/>
    <row r="1456" s="435" customFormat="1" x14ac:dyDescent="0.3"/>
    <row r="1457" s="435" customFormat="1" x14ac:dyDescent="0.3"/>
    <row r="1458" s="435" customFormat="1" x14ac:dyDescent="0.3"/>
    <row r="1459" s="435" customFormat="1" x14ac:dyDescent="0.3"/>
    <row r="1460" s="435" customFormat="1" x14ac:dyDescent="0.3"/>
    <row r="1461" s="435" customFormat="1" x14ac:dyDescent="0.3"/>
    <row r="1462" s="435" customFormat="1" x14ac:dyDescent="0.3"/>
    <row r="1463" s="435" customFormat="1" x14ac:dyDescent="0.3"/>
    <row r="1464" s="435" customFormat="1" x14ac:dyDescent="0.3"/>
    <row r="1465" s="435" customFormat="1" x14ac:dyDescent="0.3"/>
    <row r="1466" s="435" customFormat="1" x14ac:dyDescent="0.3"/>
    <row r="1467" s="435" customFormat="1" x14ac:dyDescent="0.3"/>
    <row r="1468" s="435" customFormat="1" x14ac:dyDescent="0.3"/>
    <row r="1469" s="435" customFormat="1" x14ac:dyDescent="0.3"/>
    <row r="1470" s="435" customFormat="1" x14ac:dyDescent="0.3"/>
    <row r="1471" s="435" customFormat="1" x14ac:dyDescent="0.3"/>
    <row r="1472" s="435" customFormat="1" x14ac:dyDescent="0.3"/>
    <row r="1473" s="435" customFormat="1" x14ac:dyDescent="0.3"/>
    <row r="1474" s="435" customFormat="1" x14ac:dyDescent="0.3"/>
    <row r="1475" s="435" customFormat="1" x14ac:dyDescent="0.3"/>
    <row r="1476" s="435" customFormat="1" x14ac:dyDescent="0.3"/>
    <row r="1477" s="435" customFormat="1" x14ac:dyDescent="0.3"/>
    <row r="1478" s="435" customFormat="1" x14ac:dyDescent="0.3"/>
    <row r="1479" s="435" customFormat="1" x14ac:dyDescent="0.3"/>
    <row r="1480" s="435" customFormat="1" x14ac:dyDescent="0.3"/>
    <row r="1481" s="435" customFormat="1" x14ac:dyDescent="0.3"/>
    <row r="1482" s="435" customFormat="1" x14ac:dyDescent="0.3"/>
    <row r="1483" s="435" customFormat="1" x14ac:dyDescent="0.3"/>
    <row r="1484" s="435" customFormat="1" x14ac:dyDescent="0.3"/>
    <row r="1485" s="435" customFormat="1" x14ac:dyDescent="0.3"/>
    <row r="1486" s="435" customFormat="1" x14ac:dyDescent="0.3"/>
    <row r="1487" s="435" customFormat="1" x14ac:dyDescent="0.3"/>
    <row r="1488" s="435" customFormat="1" x14ac:dyDescent="0.3"/>
    <row r="1489" s="435" customFormat="1" x14ac:dyDescent="0.3"/>
    <row r="1490" s="435" customFormat="1" x14ac:dyDescent="0.3"/>
    <row r="1491" s="435" customFormat="1" x14ac:dyDescent="0.3"/>
    <row r="1492" s="435" customFormat="1" x14ac:dyDescent="0.3"/>
    <row r="1493" s="435" customFormat="1" x14ac:dyDescent="0.3"/>
    <row r="1494" s="435" customFormat="1" x14ac:dyDescent="0.3"/>
    <row r="1495" s="435" customFormat="1" x14ac:dyDescent="0.3"/>
    <row r="1496" s="435" customFormat="1" x14ac:dyDescent="0.3"/>
    <row r="1497" s="435" customFormat="1" x14ac:dyDescent="0.3"/>
    <row r="1498" s="435" customFormat="1" x14ac:dyDescent="0.3"/>
    <row r="1499" s="435" customFormat="1" x14ac:dyDescent="0.3"/>
    <row r="1500" s="435" customFormat="1" x14ac:dyDescent="0.3"/>
    <row r="1501" s="435" customFormat="1" x14ac:dyDescent="0.3"/>
    <row r="1502" s="435" customFormat="1" x14ac:dyDescent="0.3"/>
    <row r="1503" s="435" customFormat="1" x14ac:dyDescent="0.3"/>
    <row r="1504" s="435" customFormat="1" x14ac:dyDescent="0.3"/>
    <row r="1505" s="435" customFormat="1" x14ac:dyDescent="0.3"/>
    <row r="1506" s="435" customFormat="1" x14ac:dyDescent="0.3"/>
    <row r="1507" s="435" customFormat="1" x14ac:dyDescent="0.3"/>
    <row r="1508" s="435" customFormat="1" x14ac:dyDescent="0.3"/>
    <row r="1509" s="435" customFormat="1" x14ac:dyDescent="0.3"/>
    <row r="1510" s="435" customFormat="1" x14ac:dyDescent="0.3"/>
    <row r="1511" s="435" customFormat="1" x14ac:dyDescent="0.3"/>
    <row r="1512" s="435" customFormat="1" x14ac:dyDescent="0.3"/>
    <row r="1513" s="435" customFormat="1" x14ac:dyDescent="0.3"/>
    <row r="1514" s="435" customFormat="1" x14ac:dyDescent="0.3"/>
    <row r="1515" s="435" customFormat="1" x14ac:dyDescent="0.3"/>
    <row r="1516" s="435" customFormat="1" x14ac:dyDescent="0.3"/>
    <row r="1517" s="435" customFormat="1" x14ac:dyDescent="0.3"/>
    <row r="1518" s="435" customFormat="1" x14ac:dyDescent="0.3"/>
    <row r="1519" s="435" customFormat="1" x14ac:dyDescent="0.3"/>
    <row r="1520" s="435" customFormat="1" x14ac:dyDescent="0.3"/>
    <row r="1521" s="435" customFormat="1" x14ac:dyDescent="0.3"/>
    <row r="1522" s="435" customFormat="1" x14ac:dyDescent="0.3"/>
    <row r="1523" s="435" customFormat="1" x14ac:dyDescent="0.3"/>
    <row r="1524" s="435" customFormat="1" x14ac:dyDescent="0.3"/>
    <row r="1525" s="435" customFormat="1" x14ac:dyDescent="0.3"/>
    <row r="1526" s="435" customFormat="1" x14ac:dyDescent="0.3"/>
    <row r="1527" s="435" customFormat="1" x14ac:dyDescent="0.3"/>
    <row r="1528" s="435" customFormat="1" x14ac:dyDescent="0.3"/>
    <row r="1529" s="435" customFormat="1" x14ac:dyDescent="0.3"/>
    <row r="1530" s="435" customFormat="1" x14ac:dyDescent="0.3"/>
    <row r="1531" s="435" customFormat="1" x14ac:dyDescent="0.3"/>
    <row r="1532" s="435" customFormat="1" x14ac:dyDescent="0.3"/>
    <row r="1533" s="435" customFormat="1" x14ac:dyDescent="0.3"/>
    <row r="1534" s="435" customFormat="1" x14ac:dyDescent="0.3"/>
    <row r="1535" s="435" customFormat="1" x14ac:dyDescent="0.3"/>
    <row r="1536" s="435" customFormat="1" x14ac:dyDescent="0.3"/>
    <row r="1537" s="435" customFormat="1" x14ac:dyDescent="0.3"/>
    <row r="1538" s="435" customFormat="1" x14ac:dyDescent="0.3"/>
    <row r="1539" s="435" customFormat="1" x14ac:dyDescent="0.3"/>
    <row r="1540" s="435" customFormat="1" x14ac:dyDescent="0.3"/>
    <row r="1541" s="435" customFormat="1" x14ac:dyDescent="0.3"/>
    <row r="1542" s="435" customFormat="1" x14ac:dyDescent="0.3"/>
    <row r="1543" s="435" customFormat="1" x14ac:dyDescent="0.3"/>
    <row r="1544" s="435" customFormat="1" x14ac:dyDescent="0.3"/>
    <row r="1545" s="435" customFormat="1" x14ac:dyDescent="0.3"/>
    <row r="1546" s="435" customFormat="1" x14ac:dyDescent="0.3"/>
    <row r="1547" s="435" customFormat="1" x14ac:dyDescent="0.3"/>
    <row r="1548" s="435" customFormat="1" x14ac:dyDescent="0.3"/>
    <row r="1549" s="435" customFormat="1" x14ac:dyDescent="0.3"/>
    <row r="1550" s="435" customFormat="1" x14ac:dyDescent="0.3"/>
    <row r="1551" s="435" customFormat="1" x14ac:dyDescent="0.3"/>
    <row r="1552" s="435" customFormat="1" x14ac:dyDescent="0.3"/>
    <row r="1553" s="435" customFormat="1" x14ac:dyDescent="0.3"/>
    <row r="1554" s="435" customFormat="1" x14ac:dyDescent="0.3"/>
    <row r="1555" s="435" customFormat="1" x14ac:dyDescent="0.3"/>
    <row r="1556" s="435" customFormat="1" x14ac:dyDescent="0.3"/>
    <row r="1557" s="435" customFormat="1" x14ac:dyDescent="0.3"/>
    <row r="1558" s="435" customFormat="1" x14ac:dyDescent="0.3"/>
    <row r="1559" s="435" customFormat="1" x14ac:dyDescent="0.3"/>
    <row r="1560" s="435" customFormat="1" x14ac:dyDescent="0.3"/>
    <row r="1561" s="435" customFormat="1" x14ac:dyDescent="0.3"/>
    <row r="1562" s="435" customFormat="1" x14ac:dyDescent="0.3"/>
    <row r="1563" s="435" customFormat="1" x14ac:dyDescent="0.3"/>
    <row r="1564" s="435" customFormat="1" x14ac:dyDescent="0.3"/>
    <row r="1565" s="435" customFormat="1" x14ac:dyDescent="0.3"/>
    <row r="1566" s="435" customFormat="1" x14ac:dyDescent="0.3"/>
    <row r="1567" s="435" customFormat="1" x14ac:dyDescent="0.3"/>
    <row r="1568" s="435" customFormat="1" x14ac:dyDescent="0.3"/>
    <row r="1569" s="435" customFormat="1" x14ac:dyDescent="0.3"/>
    <row r="1570" s="435" customFormat="1" x14ac:dyDescent="0.3"/>
    <row r="1571" s="435" customFormat="1" x14ac:dyDescent="0.3"/>
    <row r="1572" s="435" customFormat="1" x14ac:dyDescent="0.3"/>
    <row r="1573" s="435" customFormat="1" x14ac:dyDescent="0.3"/>
    <row r="1574" s="435" customFormat="1" x14ac:dyDescent="0.3"/>
    <row r="1575" s="435" customFormat="1" x14ac:dyDescent="0.3"/>
    <row r="1576" s="435" customFormat="1" x14ac:dyDescent="0.3"/>
    <row r="1577" s="435" customFormat="1" x14ac:dyDescent="0.3"/>
    <row r="1578" s="435" customFormat="1" x14ac:dyDescent="0.3"/>
    <row r="1579" s="435" customFormat="1" x14ac:dyDescent="0.3"/>
    <row r="1580" s="435" customFormat="1" x14ac:dyDescent="0.3"/>
    <row r="1581" s="435" customFormat="1" x14ac:dyDescent="0.3"/>
    <row r="1582" s="435" customFormat="1" x14ac:dyDescent="0.3"/>
    <row r="1583" s="435" customFormat="1" x14ac:dyDescent="0.3"/>
    <row r="1584" s="435" customFormat="1" x14ac:dyDescent="0.3"/>
    <row r="1585" s="435" customFormat="1" x14ac:dyDescent="0.3"/>
    <row r="1586" s="435" customFormat="1" x14ac:dyDescent="0.3"/>
    <row r="1587" s="435" customFormat="1" x14ac:dyDescent="0.3"/>
    <row r="1588" s="435" customFormat="1" x14ac:dyDescent="0.3"/>
    <row r="1589" s="435" customFormat="1" x14ac:dyDescent="0.3"/>
    <row r="1590" s="435" customFormat="1" x14ac:dyDescent="0.3"/>
    <row r="1591" s="435" customFormat="1" x14ac:dyDescent="0.3"/>
    <row r="1592" s="435" customFormat="1" x14ac:dyDescent="0.3"/>
    <row r="1593" s="435" customFormat="1" x14ac:dyDescent="0.3"/>
    <row r="1594" s="435" customFormat="1" x14ac:dyDescent="0.3"/>
    <row r="1595" s="435" customFormat="1" x14ac:dyDescent="0.3"/>
    <row r="1596" s="435" customFormat="1" x14ac:dyDescent="0.3"/>
    <row r="1597" s="435" customFormat="1" x14ac:dyDescent="0.3"/>
    <row r="1598" s="435" customFormat="1" x14ac:dyDescent="0.3"/>
    <row r="1599" s="435" customFormat="1" x14ac:dyDescent="0.3"/>
    <row r="1600" s="435" customFormat="1" x14ac:dyDescent="0.3"/>
    <row r="1601" s="435" customFormat="1" x14ac:dyDescent="0.3"/>
    <row r="1602" s="435" customFormat="1" x14ac:dyDescent="0.3"/>
    <row r="1603" s="435" customFormat="1" x14ac:dyDescent="0.3"/>
    <row r="1604" s="435" customFormat="1" x14ac:dyDescent="0.3"/>
    <row r="1605" s="435" customFormat="1" x14ac:dyDescent="0.3"/>
    <row r="1606" s="435" customFormat="1" x14ac:dyDescent="0.3"/>
    <row r="1607" s="435" customFormat="1" x14ac:dyDescent="0.3"/>
    <row r="1608" s="435" customFormat="1" x14ac:dyDescent="0.3"/>
    <row r="1609" s="435" customFormat="1" x14ac:dyDescent="0.3"/>
    <row r="1610" s="435" customFormat="1" x14ac:dyDescent="0.3"/>
    <row r="1611" s="435" customFormat="1" x14ac:dyDescent="0.3"/>
    <row r="1612" s="435" customFormat="1" x14ac:dyDescent="0.3"/>
    <row r="1613" s="435" customFormat="1" x14ac:dyDescent="0.3"/>
    <row r="1614" s="435" customFormat="1" x14ac:dyDescent="0.3"/>
    <row r="1615" s="435" customFormat="1" x14ac:dyDescent="0.3"/>
    <row r="1616" s="435" customFormat="1" x14ac:dyDescent="0.3"/>
    <row r="1617" s="435" customFormat="1" x14ac:dyDescent="0.3"/>
    <row r="1618" s="435" customFormat="1" x14ac:dyDescent="0.3"/>
    <row r="1619" s="435" customFormat="1" x14ac:dyDescent="0.3"/>
    <row r="1620" s="435" customFormat="1" x14ac:dyDescent="0.3"/>
    <row r="1621" s="435" customFormat="1" x14ac:dyDescent="0.3"/>
    <row r="1622" s="435" customFormat="1" x14ac:dyDescent="0.3"/>
    <row r="1623" s="435" customFormat="1" x14ac:dyDescent="0.3"/>
    <row r="1624" s="435" customFormat="1" x14ac:dyDescent="0.3"/>
    <row r="1625" s="435" customFormat="1" x14ac:dyDescent="0.3"/>
    <row r="1626" s="435" customFormat="1" x14ac:dyDescent="0.3"/>
    <row r="1627" s="435" customFormat="1" x14ac:dyDescent="0.3"/>
    <row r="1628" s="435" customFormat="1" x14ac:dyDescent="0.3"/>
    <row r="1629" s="435" customFormat="1" x14ac:dyDescent="0.3"/>
    <row r="1630" s="435" customFormat="1" x14ac:dyDescent="0.3"/>
    <row r="1631" s="435" customFormat="1" x14ac:dyDescent="0.3"/>
    <row r="1632" s="435" customFormat="1" x14ac:dyDescent="0.3"/>
    <row r="1633" s="435" customFormat="1" x14ac:dyDescent="0.3"/>
    <row r="1634" s="435" customFormat="1" x14ac:dyDescent="0.3"/>
    <row r="1635" s="435" customFormat="1" x14ac:dyDescent="0.3"/>
    <row r="1636" s="435" customFormat="1" x14ac:dyDescent="0.3"/>
    <row r="1637" s="435" customFormat="1" x14ac:dyDescent="0.3"/>
    <row r="1638" s="435" customFormat="1" x14ac:dyDescent="0.3"/>
    <row r="1639" s="435" customFormat="1" x14ac:dyDescent="0.3"/>
    <row r="1640" s="435" customFormat="1" x14ac:dyDescent="0.3"/>
    <row r="1641" s="435" customFormat="1" x14ac:dyDescent="0.3"/>
    <row r="1642" s="435" customFormat="1" x14ac:dyDescent="0.3"/>
    <row r="1643" s="435" customFormat="1" x14ac:dyDescent="0.3"/>
    <row r="1644" s="435" customFormat="1" x14ac:dyDescent="0.3"/>
    <row r="1645" s="435" customFormat="1" x14ac:dyDescent="0.3"/>
    <row r="1646" s="435" customFormat="1" x14ac:dyDescent="0.3"/>
    <row r="1647" s="435" customFormat="1" x14ac:dyDescent="0.3"/>
    <row r="1648" s="435" customFormat="1" x14ac:dyDescent="0.3"/>
    <row r="1649" s="435" customFormat="1" x14ac:dyDescent="0.3"/>
    <row r="1650" s="435" customFormat="1" x14ac:dyDescent="0.3"/>
    <row r="1651" s="435" customFormat="1" x14ac:dyDescent="0.3"/>
    <row r="1652" s="435" customFormat="1" x14ac:dyDescent="0.3"/>
    <row r="1653" s="435" customFormat="1" x14ac:dyDescent="0.3"/>
    <row r="1654" s="435" customFormat="1" x14ac:dyDescent="0.3"/>
    <row r="1655" s="435" customFormat="1" x14ac:dyDescent="0.3"/>
    <row r="1656" s="435" customFormat="1" x14ac:dyDescent="0.3"/>
    <row r="1657" s="435" customFormat="1" x14ac:dyDescent="0.3"/>
    <row r="1658" s="435" customFormat="1" x14ac:dyDescent="0.3"/>
    <row r="1659" s="435" customFormat="1" x14ac:dyDescent="0.3"/>
    <row r="1660" s="435" customFormat="1" x14ac:dyDescent="0.3"/>
    <row r="1661" s="435" customFormat="1" x14ac:dyDescent="0.3"/>
    <row r="1662" s="435" customFormat="1" x14ac:dyDescent="0.3"/>
    <row r="1663" s="435" customFormat="1" x14ac:dyDescent="0.3"/>
    <row r="1664" s="435" customFormat="1" x14ac:dyDescent="0.3"/>
    <row r="1665" s="435" customFormat="1" x14ac:dyDescent="0.3"/>
    <row r="1666" s="435" customFormat="1" x14ac:dyDescent="0.3"/>
    <row r="1667" s="435" customFormat="1" x14ac:dyDescent="0.3"/>
    <row r="1668" s="435" customFormat="1" x14ac:dyDescent="0.3"/>
    <row r="1669" s="435" customFormat="1" x14ac:dyDescent="0.3"/>
    <row r="1670" s="435" customFormat="1" x14ac:dyDescent="0.3"/>
    <row r="1671" s="435" customFormat="1" x14ac:dyDescent="0.3"/>
    <row r="1672" s="435" customFormat="1" x14ac:dyDescent="0.3"/>
    <row r="1673" s="435" customFormat="1" x14ac:dyDescent="0.3"/>
    <row r="1674" s="435" customFormat="1" x14ac:dyDescent="0.3"/>
    <row r="1675" s="435" customFormat="1" x14ac:dyDescent="0.3"/>
    <row r="1676" s="435" customFormat="1" x14ac:dyDescent="0.3"/>
    <row r="1677" s="435" customFormat="1" x14ac:dyDescent="0.3"/>
    <row r="1678" s="435" customFormat="1" x14ac:dyDescent="0.3"/>
    <row r="1679" s="435" customFormat="1" x14ac:dyDescent="0.3"/>
    <row r="1680" s="435" customFormat="1" x14ac:dyDescent="0.3"/>
    <row r="1681" s="435" customFormat="1" x14ac:dyDescent="0.3"/>
    <row r="1682" s="435" customFormat="1" x14ac:dyDescent="0.3"/>
    <row r="1683" s="435" customFormat="1" x14ac:dyDescent="0.3"/>
    <row r="1684" s="435" customFormat="1" x14ac:dyDescent="0.3"/>
    <row r="1685" s="435" customFormat="1" x14ac:dyDescent="0.3"/>
    <row r="1686" s="435" customFormat="1" x14ac:dyDescent="0.3"/>
    <row r="1687" s="435" customFormat="1" x14ac:dyDescent="0.3"/>
    <row r="1688" s="435" customFormat="1" x14ac:dyDescent="0.3"/>
    <row r="1689" s="435" customFormat="1" x14ac:dyDescent="0.3"/>
    <row r="1690" s="435" customFormat="1" x14ac:dyDescent="0.3"/>
    <row r="1691" s="435" customFormat="1" x14ac:dyDescent="0.3"/>
    <row r="1692" s="435" customFormat="1" x14ac:dyDescent="0.3"/>
    <row r="1693" s="435" customFormat="1" x14ac:dyDescent="0.3"/>
    <row r="1694" s="435" customFormat="1" x14ac:dyDescent="0.3"/>
    <row r="1695" s="435" customFormat="1" x14ac:dyDescent="0.3"/>
    <row r="1696" s="435" customFormat="1" x14ac:dyDescent="0.3"/>
    <row r="1697" s="435" customFormat="1" x14ac:dyDescent="0.3"/>
    <row r="1698" s="435" customFormat="1" x14ac:dyDescent="0.3"/>
    <row r="1699" s="435" customFormat="1" x14ac:dyDescent="0.3"/>
    <row r="1700" s="435" customFormat="1" x14ac:dyDescent="0.3"/>
    <row r="1701" s="435" customFormat="1" x14ac:dyDescent="0.3"/>
    <row r="1702" s="435" customFormat="1" x14ac:dyDescent="0.3"/>
    <row r="1703" s="435" customFormat="1" x14ac:dyDescent="0.3"/>
    <row r="1704" s="435" customFormat="1" x14ac:dyDescent="0.3"/>
    <row r="1705" s="435" customFormat="1" x14ac:dyDescent="0.3"/>
    <row r="1706" s="435" customFormat="1" x14ac:dyDescent="0.3"/>
    <row r="1707" s="435" customFormat="1" x14ac:dyDescent="0.3"/>
    <row r="1708" s="435" customFormat="1" x14ac:dyDescent="0.3"/>
    <row r="1709" s="435" customFormat="1" x14ac:dyDescent="0.3"/>
    <row r="1710" s="435" customFormat="1" x14ac:dyDescent="0.3"/>
    <row r="1711" s="435" customFormat="1" x14ac:dyDescent="0.3"/>
    <row r="1712" s="435" customFormat="1" x14ac:dyDescent="0.3"/>
    <row r="1713" s="435" customFormat="1" x14ac:dyDescent="0.3"/>
    <row r="1714" s="435" customFormat="1" x14ac:dyDescent="0.3"/>
    <row r="1715" s="435" customFormat="1" x14ac:dyDescent="0.3"/>
    <row r="1716" s="435" customFormat="1" x14ac:dyDescent="0.3"/>
    <row r="1717" s="435" customFormat="1" x14ac:dyDescent="0.3"/>
    <row r="1718" s="435" customFormat="1" x14ac:dyDescent="0.3"/>
    <row r="1719" s="435" customFormat="1" x14ac:dyDescent="0.3"/>
    <row r="1720" s="435" customFormat="1" x14ac:dyDescent="0.3"/>
    <row r="1721" s="435" customFormat="1" x14ac:dyDescent="0.3"/>
    <row r="1722" s="435" customFormat="1" x14ac:dyDescent="0.3"/>
    <row r="1723" s="435" customFormat="1" x14ac:dyDescent="0.3"/>
    <row r="1724" s="435" customFormat="1" x14ac:dyDescent="0.3"/>
    <row r="1725" s="435" customFormat="1" x14ac:dyDescent="0.3"/>
    <row r="1726" s="435" customFormat="1" x14ac:dyDescent="0.3"/>
    <row r="1727" s="435" customFormat="1" x14ac:dyDescent="0.3"/>
    <row r="1728" s="435" customFormat="1" x14ac:dyDescent="0.3"/>
    <row r="1729" s="435" customFormat="1" x14ac:dyDescent="0.3"/>
    <row r="1730" s="435" customFormat="1" x14ac:dyDescent="0.3"/>
    <row r="1731" s="435" customFormat="1" x14ac:dyDescent="0.3"/>
    <row r="1732" s="435" customFormat="1" x14ac:dyDescent="0.3"/>
    <row r="1733" s="435" customFormat="1" x14ac:dyDescent="0.3"/>
    <row r="1734" s="435" customFormat="1" x14ac:dyDescent="0.3"/>
    <row r="1735" s="435" customFormat="1" x14ac:dyDescent="0.3"/>
    <row r="1736" s="435" customFormat="1" x14ac:dyDescent="0.3"/>
    <row r="1737" s="435" customFormat="1" x14ac:dyDescent="0.3"/>
    <row r="1738" s="435" customFormat="1" x14ac:dyDescent="0.3"/>
    <row r="1739" s="435" customFormat="1" x14ac:dyDescent="0.3"/>
    <row r="1740" s="435" customFormat="1" x14ac:dyDescent="0.3"/>
    <row r="1741" s="435" customFormat="1" x14ac:dyDescent="0.3"/>
    <row r="1742" s="435" customFormat="1" x14ac:dyDescent="0.3"/>
    <row r="1743" s="435" customFormat="1" x14ac:dyDescent="0.3"/>
    <row r="1744" s="435" customFormat="1" x14ac:dyDescent="0.3"/>
    <row r="1745" s="435" customFormat="1" x14ac:dyDescent="0.3"/>
    <row r="1746" s="435" customFormat="1" x14ac:dyDescent="0.3"/>
    <row r="1747" s="435" customFormat="1" x14ac:dyDescent="0.3"/>
    <row r="1748" s="435" customFormat="1" x14ac:dyDescent="0.3"/>
    <row r="1749" s="435" customFormat="1" x14ac:dyDescent="0.3"/>
    <row r="1750" s="435" customFormat="1" x14ac:dyDescent="0.3"/>
    <row r="1751" s="435" customFormat="1" x14ac:dyDescent="0.3"/>
    <row r="1752" s="435" customFormat="1" x14ac:dyDescent="0.3"/>
    <row r="1753" s="435" customFormat="1" x14ac:dyDescent="0.3"/>
    <row r="1754" s="435" customFormat="1" x14ac:dyDescent="0.3"/>
    <row r="1755" s="435" customFormat="1" x14ac:dyDescent="0.3"/>
    <row r="1756" s="435" customFormat="1" x14ac:dyDescent="0.3"/>
    <row r="1757" s="435" customFormat="1" x14ac:dyDescent="0.3"/>
    <row r="1758" s="435" customFormat="1" x14ac:dyDescent="0.3"/>
    <row r="1759" s="435" customFormat="1" x14ac:dyDescent="0.3"/>
    <row r="1760" s="435" customFormat="1" x14ac:dyDescent="0.3"/>
    <row r="1761" s="435" customFormat="1" x14ac:dyDescent="0.3"/>
    <row r="1762" s="435" customFormat="1" x14ac:dyDescent="0.3"/>
    <row r="1763" s="435" customFormat="1" x14ac:dyDescent="0.3"/>
    <row r="1764" s="435" customFormat="1" x14ac:dyDescent="0.3"/>
    <row r="1765" s="435" customFormat="1" x14ac:dyDescent="0.3"/>
    <row r="1766" s="435" customFormat="1" x14ac:dyDescent="0.3"/>
    <row r="1767" s="435" customFormat="1" x14ac:dyDescent="0.3"/>
    <row r="1768" s="435" customFormat="1" x14ac:dyDescent="0.3"/>
    <row r="1769" s="435" customFormat="1" x14ac:dyDescent="0.3"/>
    <row r="1770" s="435" customFormat="1" x14ac:dyDescent="0.3"/>
    <row r="1771" s="435" customFormat="1" x14ac:dyDescent="0.3"/>
    <row r="1772" s="435" customFormat="1" x14ac:dyDescent="0.3"/>
    <row r="1773" s="435" customFormat="1" x14ac:dyDescent="0.3"/>
    <row r="1774" s="435" customFormat="1" x14ac:dyDescent="0.3"/>
    <row r="1775" s="435" customFormat="1" x14ac:dyDescent="0.3"/>
    <row r="1776" s="435" customFormat="1" x14ac:dyDescent="0.3"/>
    <row r="1777" s="435" customFormat="1" x14ac:dyDescent="0.3"/>
    <row r="1778" s="435" customFormat="1" x14ac:dyDescent="0.3"/>
    <row r="1779" s="435" customFormat="1" x14ac:dyDescent="0.3"/>
    <row r="1780" s="435" customFormat="1" x14ac:dyDescent="0.3"/>
    <row r="1781" s="435" customFormat="1" x14ac:dyDescent="0.3"/>
    <row r="1782" s="435" customFormat="1" x14ac:dyDescent="0.3"/>
    <row r="1783" s="435" customFormat="1" x14ac:dyDescent="0.3"/>
    <row r="1784" s="435" customFormat="1" x14ac:dyDescent="0.3"/>
    <row r="1785" s="435" customFormat="1" x14ac:dyDescent="0.3"/>
    <row r="1786" s="435" customFormat="1" x14ac:dyDescent="0.3"/>
    <row r="1787" s="435" customFormat="1" x14ac:dyDescent="0.3"/>
    <row r="1788" s="435" customFormat="1" x14ac:dyDescent="0.3"/>
    <row r="1789" s="435" customFormat="1" x14ac:dyDescent="0.3"/>
    <row r="1790" s="435" customFormat="1" x14ac:dyDescent="0.3"/>
    <row r="1791" s="435" customFormat="1" x14ac:dyDescent="0.3"/>
    <row r="1792" s="435" customFormat="1" x14ac:dyDescent="0.3"/>
    <row r="1793" s="435" customFormat="1" x14ac:dyDescent="0.3"/>
    <row r="1794" s="435" customFormat="1" x14ac:dyDescent="0.3"/>
    <row r="1795" s="435" customFormat="1" x14ac:dyDescent="0.3"/>
    <row r="1796" s="435" customFormat="1" x14ac:dyDescent="0.3"/>
    <row r="1797" s="435" customFormat="1" x14ac:dyDescent="0.3"/>
    <row r="1798" s="435" customFormat="1" x14ac:dyDescent="0.3"/>
    <row r="1799" s="435" customFormat="1" x14ac:dyDescent="0.3"/>
    <row r="1800" s="435" customFormat="1" x14ac:dyDescent="0.3"/>
    <row r="1801" s="435" customFormat="1" x14ac:dyDescent="0.3"/>
    <row r="1802" s="435" customFormat="1" x14ac:dyDescent="0.3"/>
    <row r="1803" s="435" customFormat="1" x14ac:dyDescent="0.3"/>
    <row r="1804" s="435" customFormat="1" x14ac:dyDescent="0.3"/>
    <row r="1805" s="435" customFormat="1" x14ac:dyDescent="0.3"/>
    <row r="1806" s="435" customFormat="1" x14ac:dyDescent="0.3"/>
    <row r="1807" s="435" customFormat="1" x14ac:dyDescent="0.3"/>
    <row r="1808" s="435" customFormat="1" x14ac:dyDescent="0.3"/>
    <row r="1809" s="435" customFormat="1" x14ac:dyDescent="0.3"/>
    <row r="1810" s="435" customFormat="1" x14ac:dyDescent="0.3"/>
    <row r="1811" s="435" customFormat="1" x14ac:dyDescent="0.3"/>
    <row r="1812" s="435" customFormat="1" x14ac:dyDescent="0.3"/>
    <row r="1813" s="435" customFormat="1" x14ac:dyDescent="0.3"/>
    <row r="1814" s="435" customFormat="1" x14ac:dyDescent="0.3"/>
    <row r="1815" s="435" customFormat="1" x14ac:dyDescent="0.3"/>
    <row r="1816" s="435" customFormat="1" x14ac:dyDescent="0.3"/>
    <row r="1817" s="435" customFormat="1" x14ac:dyDescent="0.3"/>
    <row r="1818" s="435" customFormat="1" x14ac:dyDescent="0.3"/>
    <row r="1819" s="435" customFormat="1" x14ac:dyDescent="0.3"/>
    <row r="1820" s="435" customFormat="1" x14ac:dyDescent="0.3"/>
    <row r="1821" s="435" customFormat="1" x14ac:dyDescent="0.3"/>
    <row r="1822" s="435" customFormat="1" x14ac:dyDescent="0.3"/>
    <row r="1823" s="435" customFormat="1" x14ac:dyDescent="0.3"/>
    <row r="1824" s="435" customFormat="1" x14ac:dyDescent="0.3"/>
    <row r="1825" s="435" customFormat="1" x14ac:dyDescent="0.3"/>
    <row r="1826" s="435" customFormat="1" x14ac:dyDescent="0.3"/>
    <row r="1827" s="435" customFormat="1" x14ac:dyDescent="0.3"/>
    <row r="1828" s="435" customFormat="1" x14ac:dyDescent="0.3"/>
    <row r="1829" s="435" customFormat="1" x14ac:dyDescent="0.3"/>
    <row r="1830" s="435" customFormat="1" x14ac:dyDescent="0.3"/>
    <row r="1831" s="435" customFormat="1" x14ac:dyDescent="0.3"/>
    <row r="1832" s="435" customFormat="1" x14ac:dyDescent="0.3"/>
    <row r="1833" s="435" customFormat="1" x14ac:dyDescent="0.3"/>
    <row r="1834" s="435" customFormat="1" x14ac:dyDescent="0.3"/>
    <row r="1835" s="435" customFormat="1" x14ac:dyDescent="0.3"/>
    <row r="1836" s="435" customFormat="1" x14ac:dyDescent="0.3"/>
    <row r="1837" s="435" customFormat="1" x14ac:dyDescent="0.3"/>
    <row r="1838" s="435" customFormat="1" x14ac:dyDescent="0.3"/>
    <row r="1839" s="435" customFormat="1" x14ac:dyDescent="0.3"/>
    <row r="1840" s="435" customFormat="1" x14ac:dyDescent="0.3"/>
    <row r="1841" s="435" customFormat="1" x14ac:dyDescent="0.3"/>
    <row r="1842" s="435" customFormat="1" x14ac:dyDescent="0.3"/>
    <row r="1843" s="435" customFormat="1" x14ac:dyDescent="0.3"/>
    <row r="1844" s="435" customFormat="1" x14ac:dyDescent="0.3"/>
    <row r="1845" s="435" customFormat="1" x14ac:dyDescent="0.3"/>
    <row r="1846" s="435" customFormat="1" x14ac:dyDescent="0.3"/>
    <row r="1847" s="435" customFormat="1" x14ac:dyDescent="0.3"/>
    <row r="1848" s="435" customFormat="1" x14ac:dyDescent="0.3"/>
    <row r="1849" s="435" customFormat="1" x14ac:dyDescent="0.3"/>
    <row r="1850" s="435" customFormat="1" x14ac:dyDescent="0.3"/>
    <row r="1851" s="435" customFormat="1" x14ac:dyDescent="0.3"/>
    <row r="1852" s="435" customFormat="1" x14ac:dyDescent="0.3"/>
    <row r="1853" s="435" customFormat="1" x14ac:dyDescent="0.3"/>
    <row r="1854" s="435" customFormat="1" x14ac:dyDescent="0.3"/>
    <row r="1855" s="435" customFormat="1" x14ac:dyDescent="0.3"/>
    <row r="1856" s="435" customFormat="1" x14ac:dyDescent="0.3"/>
    <row r="1857" s="435" customFormat="1" x14ac:dyDescent="0.3"/>
    <row r="1858" s="435" customFormat="1" x14ac:dyDescent="0.3"/>
    <row r="1859" s="435" customFormat="1" x14ac:dyDescent="0.3"/>
    <row r="1860" s="435" customFormat="1" x14ac:dyDescent="0.3"/>
    <row r="1861" s="435" customFormat="1" x14ac:dyDescent="0.3"/>
    <row r="1862" s="435" customFormat="1" x14ac:dyDescent="0.3"/>
    <row r="1863" s="435" customFormat="1" x14ac:dyDescent="0.3"/>
    <row r="1864" s="435" customFormat="1" x14ac:dyDescent="0.3"/>
    <row r="1865" s="435" customFormat="1" x14ac:dyDescent="0.3"/>
    <row r="1866" s="435" customFormat="1" x14ac:dyDescent="0.3"/>
    <row r="1867" s="435" customFormat="1" x14ac:dyDescent="0.3"/>
    <row r="1868" s="435" customFormat="1" x14ac:dyDescent="0.3"/>
    <row r="1869" s="435" customFormat="1" x14ac:dyDescent="0.3"/>
    <row r="1870" s="435" customFormat="1" x14ac:dyDescent="0.3"/>
    <row r="1871" s="435" customFormat="1" x14ac:dyDescent="0.3"/>
    <row r="1872" s="435" customFormat="1" x14ac:dyDescent="0.3"/>
    <row r="1873" s="435" customFormat="1" x14ac:dyDescent="0.3"/>
    <row r="1874" s="435" customFormat="1" x14ac:dyDescent="0.3"/>
    <row r="1875" s="435" customFormat="1" x14ac:dyDescent="0.3"/>
    <row r="1876" s="435" customFormat="1" x14ac:dyDescent="0.3"/>
    <row r="1877" s="435" customFormat="1" x14ac:dyDescent="0.3"/>
    <row r="1878" s="435" customFormat="1" x14ac:dyDescent="0.3"/>
    <row r="1879" s="435" customFormat="1" x14ac:dyDescent="0.3"/>
    <row r="1880" s="435" customFormat="1" x14ac:dyDescent="0.3"/>
    <row r="1881" s="435" customFormat="1" x14ac:dyDescent="0.3"/>
    <row r="1882" s="435" customFormat="1" x14ac:dyDescent="0.3"/>
    <row r="1883" s="435" customFormat="1" x14ac:dyDescent="0.3"/>
    <row r="1884" s="435" customFormat="1" x14ac:dyDescent="0.3"/>
    <row r="1885" s="435" customFormat="1" x14ac:dyDescent="0.3"/>
    <row r="1886" s="435" customFormat="1" x14ac:dyDescent="0.3"/>
    <row r="1887" s="435" customFormat="1" x14ac:dyDescent="0.3"/>
    <row r="1888" s="435" customFormat="1" x14ac:dyDescent="0.3"/>
    <row r="1889" s="435" customFormat="1" x14ac:dyDescent="0.3"/>
    <row r="1890" s="435" customFormat="1" x14ac:dyDescent="0.3"/>
    <row r="1891" s="435" customFormat="1" x14ac:dyDescent="0.3"/>
    <row r="1892" s="435" customFormat="1" x14ac:dyDescent="0.3"/>
    <row r="1893" s="435" customFormat="1" x14ac:dyDescent="0.3"/>
    <row r="1894" s="435" customFormat="1" x14ac:dyDescent="0.3"/>
    <row r="1895" s="435" customFormat="1" x14ac:dyDescent="0.3"/>
    <row r="1896" s="435" customFormat="1" x14ac:dyDescent="0.3"/>
    <row r="1897" s="435" customFormat="1" x14ac:dyDescent="0.3"/>
    <row r="1898" s="435" customFormat="1" x14ac:dyDescent="0.3"/>
    <row r="1899" s="435" customFormat="1" x14ac:dyDescent="0.3"/>
    <row r="1900" s="435" customFormat="1" x14ac:dyDescent="0.3"/>
    <row r="1901" s="435" customFormat="1" x14ac:dyDescent="0.3"/>
    <row r="1902" s="435" customFormat="1" x14ac:dyDescent="0.3"/>
    <row r="1903" s="435" customFormat="1" x14ac:dyDescent="0.3"/>
    <row r="1904" s="435" customFormat="1" x14ac:dyDescent="0.3"/>
    <row r="1905" s="435" customFormat="1" x14ac:dyDescent="0.3"/>
    <row r="1906" s="435" customFormat="1" x14ac:dyDescent="0.3"/>
    <row r="1907" s="435" customFormat="1" x14ac:dyDescent="0.3"/>
    <row r="1908" s="435" customFormat="1" x14ac:dyDescent="0.3"/>
    <row r="1909" s="435" customFormat="1" x14ac:dyDescent="0.3"/>
    <row r="1910" s="435" customFormat="1" x14ac:dyDescent="0.3"/>
    <row r="1911" s="435" customFormat="1" x14ac:dyDescent="0.3"/>
    <row r="1912" s="435" customFormat="1" x14ac:dyDescent="0.3"/>
    <row r="1913" s="435" customFormat="1" x14ac:dyDescent="0.3"/>
    <row r="1914" s="435" customFormat="1" x14ac:dyDescent="0.3"/>
    <row r="1915" s="435" customFormat="1" x14ac:dyDescent="0.3"/>
    <row r="1916" s="435" customFormat="1" x14ac:dyDescent="0.3"/>
    <row r="1917" s="435" customFormat="1" x14ac:dyDescent="0.3"/>
    <row r="1918" s="435" customFormat="1" x14ac:dyDescent="0.3"/>
    <row r="1919" s="435" customFormat="1" x14ac:dyDescent="0.3"/>
    <row r="1920" s="435" customFormat="1" x14ac:dyDescent="0.3"/>
    <row r="1921" s="435" customFormat="1" x14ac:dyDescent="0.3"/>
    <row r="1922" s="435" customFormat="1" x14ac:dyDescent="0.3"/>
    <row r="1923" s="435" customFormat="1" x14ac:dyDescent="0.3"/>
    <row r="1924" s="435" customFormat="1" x14ac:dyDescent="0.3"/>
    <row r="1925" s="435" customFormat="1" x14ac:dyDescent="0.3"/>
    <row r="1926" s="435" customFormat="1" x14ac:dyDescent="0.3"/>
    <row r="1927" s="435" customFormat="1" x14ac:dyDescent="0.3"/>
    <row r="1928" s="435" customFormat="1" x14ac:dyDescent="0.3"/>
    <row r="1929" s="435" customFormat="1" x14ac:dyDescent="0.3"/>
    <row r="1930" s="435" customFormat="1" x14ac:dyDescent="0.3"/>
    <row r="1931" s="435" customFormat="1" x14ac:dyDescent="0.3"/>
    <row r="1932" s="435" customFormat="1" x14ac:dyDescent="0.3"/>
    <row r="1933" s="435" customFormat="1" x14ac:dyDescent="0.3"/>
    <row r="1934" s="435" customFormat="1" x14ac:dyDescent="0.3"/>
    <row r="1935" s="435" customFormat="1" x14ac:dyDescent="0.3"/>
    <row r="1936" s="435" customFormat="1" x14ac:dyDescent="0.3"/>
    <row r="1937" s="435" customFormat="1" x14ac:dyDescent="0.3"/>
    <row r="1938" s="435" customFormat="1" x14ac:dyDescent="0.3"/>
    <row r="1939" s="435" customFormat="1" x14ac:dyDescent="0.3"/>
    <row r="1940" s="435" customFormat="1" x14ac:dyDescent="0.3"/>
    <row r="1941" s="435" customFormat="1" x14ac:dyDescent="0.3"/>
    <row r="1942" s="435" customFormat="1" x14ac:dyDescent="0.3"/>
    <row r="1943" s="435" customFormat="1" x14ac:dyDescent="0.3"/>
    <row r="1944" s="435" customFormat="1" x14ac:dyDescent="0.3"/>
    <row r="1945" s="435" customFormat="1" x14ac:dyDescent="0.3"/>
    <row r="1946" s="435" customFormat="1" x14ac:dyDescent="0.3"/>
    <row r="1947" s="435" customFormat="1" x14ac:dyDescent="0.3"/>
    <row r="1948" s="435" customFormat="1" x14ac:dyDescent="0.3"/>
    <row r="1949" s="435" customFormat="1" x14ac:dyDescent="0.3"/>
    <row r="1950" s="435" customFormat="1" x14ac:dyDescent="0.3"/>
    <row r="1951" s="435" customFormat="1" x14ac:dyDescent="0.3"/>
    <row r="1952" s="435" customFormat="1" x14ac:dyDescent="0.3"/>
    <row r="1953" s="435" customFormat="1" x14ac:dyDescent="0.3"/>
    <row r="1954" s="435" customFormat="1" x14ac:dyDescent="0.3"/>
    <row r="1955" s="435" customFormat="1" x14ac:dyDescent="0.3"/>
    <row r="1956" s="435" customFormat="1" x14ac:dyDescent="0.3"/>
    <row r="1957" s="435" customFormat="1" x14ac:dyDescent="0.3"/>
    <row r="1958" s="435" customFormat="1" x14ac:dyDescent="0.3"/>
    <row r="1959" s="435" customFormat="1" x14ac:dyDescent="0.3"/>
    <row r="1960" s="435" customFormat="1" x14ac:dyDescent="0.3"/>
    <row r="1961" s="435" customFormat="1" x14ac:dyDescent="0.3"/>
    <row r="1962" s="435" customFormat="1" x14ac:dyDescent="0.3"/>
    <row r="1963" s="435" customFormat="1" x14ac:dyDescent="0.3"/>
    <row r="1964" s="435" customFormat="1" x14ac:dyDescent="0.3"/>
    <row r="1965" s="435" customFormat="1" x14ac:dyDescent="0.3"/>
    <row r="1966" s="435" customFormat="1" x14ac:dyDescent="0.3"/>
    <row r="1967" s="435" customFormat="1" x14ac:dyDescent="0.3"/>
    <row r="1968" s="435" customFormat="1" x14ac:dyDescent="0.3"/>
    <row r="1969" s="435" customFormat="1" x14ac:dyDescent="0.3"/>
    <row r="1970" s="435" customFormat="1" x14ac:dyDescent="0.3"/>
    <row r="1971" s="435" customFormat="1" x14ac:dyDescent="0.3"/>
    <row r="1972" s="435" customFormat="1" x14ac:dyDescent="0.3"/>
    <row r="1973" s="435" customFormat="1" x14ac:dyDescent="0.3"/>
    <row r="1974" s="435" customFormat="1" x14ac:dyDescent="0.3"/>
    <row r="1975" s="435" customFormat="1" x14ac:dyDescent="0.3"/>
    <row r="1976" s="435" customFormat="1" x14ac:dyDescent="0.3"/>
    <row r="1977" s="435" customFormat="1" x14ac:dyDescent="0.3"/>
    <row r="1978" s="435" customFormat="1" x14ac:dyDescent="0.3"/>
    <row r="1979" s="435" customFormat="1" x14ac:dyDescent="0.3"/>
    <row r="1980" s="435" customFormat="1" x14ac:dyDescent="0.3"/>
    <row r="1981" s="435" customFormat="1" x14ac:dyDescent="0.3"/>
    <row r="1982" s="435" customFormat="1" x14ac:dyDescent="0.3"/>
    <row r="1983" s="435" customFormat="1" x14ac:dyDescent="0.3"/>
    <row r="1984" s="435" customFormat="1" x14ac:dyDescent="0.3"/>
    <row r="1985" s="435" customFormat="1" x14ac:dyDescent="0.3"/>
    <row r="1986" s="435" customFormat="1" x14ac:dyDescent="0.3"/>
    <row r="1987" s="435" customFormat="1" x14ac:dyDescent="0.3"/>
    <row r="1988" s="435" customFormat="1" x14ac:dyDescent="0.3"/>
    <row r="1989" s="435" customFormat="1" x14ac:dyDescent="0.3"/>
    <row r="1990" s="435" customFormat="1" x14ac:dyDescent="0.3"/>
    <row r="1991" s="435" customFormat="1" x14ac:dyDescent="0.3"/>
    <row r="1992" s="435" customFormat="1" x14ac:dyDescent="0.3"/>
    <row r="1993" s="435" customFormat="1" x14ac:dyDescent="0.3"/>
    <row r="1994" s="435" customFormat="1" x14ac:dyDescent="0.3"/>
    <row r="1995" s="435" customFormat="1" x14ac:dyDescent="0.3"/>
    <row r="1996" s="435" customFormat="1" x14ac:dyDescent="0.3"/>
    <row r="1997" s="435" customFormat="1" x14ac:dyDescent="0.3"/>
    <row r="1998" s="435" customFormat="1" x14ac:dyDescent="0.3"/>
    <row r="1999" s="435" customFormat="1" x14ac:dyDescent="0.3"/>
    <row r="2000" s="435" customFormat="1" x14ac:dyDescent="0.3"/>
    <row r="2001" s="435" customFormat="1" x14ac:dyDescent="0.3"/>
    <row r="2002" s="435" customFormat="1" x14ac:dyDescent="0.3"/>
    <row r="2003" s="435" customFormat="1" x14ac:dyDescent="0.3"/>
    <row r="2004" s="435" customFormat="1" x14ac:dyDescent="0.3"/>
    <row r="2005" s="435" customFormat="1" x14ac:dyDescent="0.3"/>
    <row r="2006" s="435" customFormat="1" x14ac:dyDescent="0.3"/>
    <row r="2007" s="435" customFormat="1" x14ac:dyDescent="0.3"/>
    <row r="2008" s="435" customFormat="1" x14ac:dyDescent="0.3"/>
    <row r="2009" s="435" customFormat="1" x14ac:dyDescent="0.3"/>
    <row r="2010" s="435" customFormat="1" x14ac:dyDescent="0.3"/>
    <row r="2011" s="435" customFormat="1" x14ac:dyDescent="0.3"/>
    <row r="2012" s="435" customFormat="1" x14ac:dyDescent="0.3"/>
    <row r="2013" s="435" customFormat="1" x14ac:dyDescent="0.3"/>
    <row r="2014" s="435" customFormat="1" x14ac:dyDescent="0.3"/>
    <row r="2015" s="435" customFormat="1" x14ac:dyDescent="0.3"/>
    <row r="2016" s="435" customFormat="1" x14ac:dyDescent="0.3"/>
    <row r="2017" s="435" customFormat="1" x14ac:dyDescent="0.3"/>
    <row r="2018" s="435" customFormat="1" x14ac:dyDescent="0.3"/>
    <row r="2019" s="435" customFormat="1" x14ac:dyDescent="0.3"/>
    <row r="2020" s="435" customFormat="1" x14ac:dyDescent="0.3"/>
    <row r="2021" s="435" customFormat="1" x14ac:dyDescent="0.3"/>
    <row r="2022" s="435" customFormat="1" x14ac:dyDescent="0.3"/>
    <row r="2023" s="435" customFormat="1" x14ac:dyDescent="0.3"/>
    <row r="2024" s="435" customFormat="1" x14ac:dyDescent="0.3"/>
    <row r="2025" s="435" customFormat="1" x14ac:dyDescent="0.3"/>
    <row r="2026" s="435" customFormat="1" x14ac:dyDescent="0.3"/>
    <row r="2027" s="435" customFormat="1" x14ac:dyDescent="0.3"/>
    <row r="2028" s="435" customFormat="1" x14ac:dyDescent="0.3"/>
    <row r="2029" s="435" customFormat="1" x14ac:dyDescent="0.3"/>
    <row r="2030" s="435" customFormat="1" x14ac:dyDescent="0.3"/>
    <row r="2031" s="435" customFormat="1" x14ac:dyDescent="0.3"/>
    <row r="2032" s="435" customFormat="1" x14ac:dyDescent="0.3"/>
    <row r="2033" s="435" customFormat="1" x14ac:dyDescent="0.3"/>
    <row r="2034" s="435" customFormat="1" x14ac:dyDescent="0.3"/>
    <row r="2035" s="435" customFormat="1" x14ac:dyDescent="0.3"/>
    <row r="2036" s="435" customFormat="1" x14ac:dyDescent="0.3"/>
    <row r="2037" s="435" customFormat="1" x14ac:dyDescent="0.3"/>
    <row r="2038" s="435" customFormat="1" x14ac:dyDescent="0.3"/>
    <row r="2039" s="435" customFormat="1" x14ac:dyDescent="0.3"/>
    <row r="2040" s="435" customFormat="1" x14ac:dyDescent="0.3"/>
    <row r="2041" s="435" customFormat="1" x14ac:dyDescent="0.3"/>
    <row r="2042" s="435" customFormat="1" x14ac:dyDescent="0.3"/>
    <row r="2043" s="435" customFormat="1" x14ac:dyDescent="0.3"/>
    <row r="2044" s="435" customFormat="1" x14ac:dyDescent="0.3"/>
    <row r="2045" s="435" customFormat="1" x14ac:dyDescent="0.3"/>
    <row r="2046" s="435" customFormat="1" x14ac:dyDescent="0.3"/>
    <row r="2047" s="435" customFormat="1" x14ac:dyDescent="0.3"/>
    <row r="2048" s="435" customFormat="1" x14ac:dyDescent="0.3"/>
    <row r="2049" s="435" customFormat="1" x14ac:dyDescent="0.3"/>
    <row r="2050" s="435" customFormat="1" x14ac:dyDescent="0.3"/>
    <row r="2051" s="435" customFormat="1" x14ac:dyDescent="0.3"/>
    <row r="2052" s="435" customFormat="1" x14ac:dyDescent="0.3"/>
    <row r="2053" s="435" customFormat="1" x14ac:dyDescent="0.3"/>
    <row r="2054" s="435" customFormat="1" x14ac:dyDescent="0.3"/>
    <row r="2055" s="435" customFormat="1" x14ac:dyDescent="0.3"/>
    <row r="2056" s="435" customFormat="1" x14ac:dyDescent="0.3"/>
    <row r="2057" s="435" customFormat="1" x14ac:dyDescent="0.3"/>
    <row r="2058" s="435" customFormat="1" x14ac:dyDescent="0.3"/>
    <row r="2059" s="435" customFormat="1" x14ac:dyDescent="0.3"/>
    <row r="2060" s="435" customFormat="1" x14ac:dyDescent="0.3"/>
    <row r="2061" s="435" customFormat="1" x14ac:dyDescent="0.3"/>
    <row r="2062" s="435" customFormat="1" x14ac:dyDescent="0.3"/>
    <row r="2063" s="435" customFormat="1" x14ac:dyDescent="0.3"/>
    <row r="2064" s="435" customFormat="1" x14ac:dyDescent="0.3"/>
    <row r="2065" s="435" customFormat="1" x14ac:dyDescent="0.3"/>
    <row r="2066" s="435" customFormat="1" x14ac:dyDescent="0.3"/>
    <row r="2067" s="435" customFormat="1" x14ac:dyDescent="0.3"/>
    <row r="2068" s="435" customFormat="1" x14ac:dyDescent="0.3"/>
    <row r="2069" s="435" customFormat="1" x14ac:dyDescent="0.3"/>
    <row r="2070" s="435" customFormat="1" x14ac:dyDescent="0.3"/>
    <row r="2071" s="435" customFormat="1" x14ac:dyDescent="0.3"/>
    <row r="2072" s="435" customFormat="1" x14ac:dyDescent="0.3"/>
    <row r="2073" s="435" customFormat="1" x14ac:dyDescent="0.3"/>
    <row r="2074" s="435" customFormat="1" x14ac:dyDescent="0.3"/>
    <row r="2075" s="435" customFormat="1" x14ac:dyDescent="0.3"/>
    <row r="2076" s="435" customFormat="1" x14ac:dyDescent="0.3"/>
    <row r="2077" s="435" customFormat="1" x14ac:dyDescent="0.3"/>
    <row r="2078" s="435" customFormat="1" x14ac:dyDescent="0.3"/>
    <row r="2079" s="435" customFormat="1" x14ac:dyDescent="0.3"/>
    <row r="2080" s="435" customFormat="1" x14ac:dyDescent="0.3"/>
    <row r="2081" s="435" customFormat="1" x14ac:dyDescent="0.3"/>
    <row r="2082" s="435" customFormat="1" x14ac:dyDescent="0.3"/>
    <row r="2083" s="435" customFormat="1" x14ac:dyDescent="0.3"/>
    <row r="2084" s="435" customFormat="1" x14ac:dyDescent="0.3"/>
    <row r="2085" s="435" customFormat="1" x14ac:dyDescent="0.3"/>
    <row r="2086" s="435" customFormat="1" x14ac:dyDescent="0.3"/>
    <row r="2087" s="435" customFormat="1" x14ac:dyDescent="0.3"/>
    <row r="2088" s="435" customFormat="1" x14ac:dyDescent="0.3"/>
    <row r="2089" s="435" customFormat="1" x14ac:dyDescent="0.3"/>
    <row r="2090" s="435" customFormat="1" x14ac:dyDescent="0.3"/>
    <row r="2091" s="435" customFormat="1" x14ac:dyDescent="0.3"/>
    <row r="2092" s="435" customFormat="1" x14ac:dyDescent="0.3"/>
    <row r="2093" s="435" customFormat="1" x14ac:dyDescent="0.3"/>
    <row r="2094" s="435" customFormat="1" x14ac:dyDescent="0.3"/>
    <row r="2095" s="435" customFormat="1" x14ac:dyDescent="0.3"/>
    <row r="2096" s="435" customFormat="1" x14ac:dyDescent="0.3"/>
    <row r="2097" s="435" customFormat="1" x14ac:dyDescent="0.3"/>
    <row r="2098" s="435" customFormat="1" x14ac:dyDescent="0.3"/>
    <row r="2099" s="435" customFormat="1" x14ac:dyDescent="0.3"/>
    <row r="2100" s="435" customFormat="1" x14ac:dyDescent="0.3"/>
    <row r="2101" s="435" customFormat="1" x14ac:dyDescent="0.3"/>
    <row r="2102" s="435" customFormat="1" x14ac:dyDescent="0.3"/>
    <row r="2103" s="435" customFormat="1" x14ac:dyDescent="0.3"/>
    <row r="2104" s="435" customFormat="1" x14ac:dyDescent="0.3"/>
    <row r="2105" s="435" customFormat="1" x14ac:dyDescent="0.3"/>
    <row r="2106" s="435" customFormat="1" x14ac:dyDescent="0.3"/>
    <row r="2107" s="435" customFormat="1" x14ac:dyDescent="0.3"/>
    <row r="2108" s="435" customFormat="1" x14ac:dyDescent="0.3"/>
    <row r="2109" s="435" customFormat="1" x14ac:dyDescent="0.3"/>
    <row r="2110" s="435" customFormat="1" x14ac:dyDescent="0.3"/>
    <row r="2111" s="435" customFormat="1" x14ac:dyDescent="0.3"/>
    <row r="2112" s="435" customFormat="1" x14ac:dyDescent="0.3"/>
    <row r="2113" s="435" customFormat="1" x14ac:dyDescent="0.3"/>
    <row r="2114" s="435" customFormat="1" x14ac:dyDescent="0.3"/>
    <row r="2115" s="435" customFormat="1" x14ac:dyDescent="0.3"/>
    <row r="2116" s="435" customFormat="1" x14ac:dyDescent="0.3"/>
    <row r="2117" s="435" customFormat="1" x14ac:dyDescent="0.3"/>
    <row r="2118" s="435" customFormat="1" x14ac:dyDescent="0.3"/>
    <row r="2119" s="435" customFormat="1" x14ac:dyDescent="0.3"/>
    <row r="2120" s="435" customFormat="1" x14ac:dyDescent="0.3"/>
    <row r="2121" s="435" customFormat="1" x14ac:dyDescent="0.3"/>
    <row r="2122" s="435" customFormat="1" x14ac:dyDescent="0.3"/>
    <row r="2123" s="435" customFormat="1" x14ac:dyDescent="0.3"/>
    <row r="2124" s="435" customFormat="1" x14ac:dyDescent="0.3"/>
    <row r="2125" s="435" customFormat="1" x14ac:dyDescent="0.3"/>
    <row r="2126" s="435" customFormat="1" x14ac:dyDescent="0.3"/>
    <row r="2127" s="435" customFormat="1" x14ac:dyDescent="0.3"/>
    <row r="2128" s="435" customFormat="1" x14ac:dyDescent="0.3"/>
    <row r="2129" s="435" customFormat="1" x14ac:dyDescent="0.3"/>
    <row r="2130" s="435" customFormat="1" x14ac:dyDescent="0.3"/>
    <row r="2131" s="435" customFormat="1" x14ac:dyDescent="0.3"/>
    <row r="2132" s="435" customFormat="1" x14ac:dyDescent="0.3"/>
    <row r="2133" s="435" customFormat="1" x14ac:dyDescent="0.3"/>
    <row r="2134" s="435" customFormat="1" x14ac:dyDescent="0.3"/>
    <row r="2135" s="435" customFormat="1" x14ac:dyDescent="0.3"/>
    <row r="2136" s="435" customFormat="1" x14ac:dyDescent="0.3"/>
    <row r="2137" s="435" customFormat="1" x14ac:dyDescent="0.3"/>
    <row r="2138" s="435" customFormat="1" x14ac:dyDescent="0.3"/>
    <row r="2139" s="435" customFormat="1" x14ac:dyDescent="0.3"/>
    <row r="2140" s="435" customFormat="1" x14ac:dyDescent="0.3"/>
    <row r="2141" s="435" customFormat="1" x14ac:dyDescent="0.3"/>
    <row r="2142" s="435" customFormat="1" x14ac:dyDescent="0.3"/>
    <row r="2143" s="435" customFormat="1" x14ac:dyDescent="0.3"/>
    <row r="2144" s="435" customFormat="1" x14ac:dyDescent="0.3"/>
    <row r="2145" s="435" customFormat="1" x14ac:dyDescent="0.3"/>
    <row r="2146" s="435" customFormat="1" x14ac:dyDescent="0.3"/>
    <row r="2147" s="435" customFormat="1" x14ac:dyDescent="0.3"/>
    <row r="2148" s="435" customFormat="1" x14ac:dyDescent="0.3"/>
    <row r="2149" s="435" customFormat="1" x14ac:dyDescent="0.3"/>
    <row r="2150" s="435" customFormat="1" x14ac:dyDescent="0.3"/>
    <row r="2151" s="435" customFormat="1" x14ac:dyDescent="0.3"/>
    <row r="2152" s="435" customFormat="1" x14ac:dyDescent="0.3"/>
    <row r="2153" s="435" customFormat="1" x14ac:dyDescent="0.3"/>
    <row r="2154" s="435" customFormat="1" x14ac:dyDescent="0.3"/>
    <row r="2155" s="435" customFormat="1" x14ac:dyDescent="0.3"/>
    <row r="2156" s="435" customFormat="1" x14ac:dyDescent="0.3"/>
    <row r="2157" s="435" customFormat="1" x14ac:dyDescent="0.3"/>
    <row r="2158" s="435" customFormat="1" x14ac:dyDescent="0.3"/>
    <row r="2159" s="435" customFormat="1" x14ac:dyDescent="0.3"/>
    <row r="2160" s="435" customFormat="1" x14ac:dyDescent="0.3"/>
    <row r="2161" s="435" customFormat="1" x14ac:dyDescent="0.3"/>
    <row r="2162" s="435" customFormat="1" x14ac:dyDescent="0.3"/>
    <row r="2163" s="435" customFormat="1" x14ac:dyDescent="0.3"/>
    <row r="2164" s="435" customFormat="1" x14ac:dyDescent="0.3"/>
    <row r="2165" s="435" customFormat="1" x14ac:dyDescent="0.3"/>
    <row r="2166" s="435" customFormat="1" x14ac:dyDescent="0.3"/>
    <row r="2167" s="435" customFormat="1" x14ac:dyDescent="0.3"/>
    <row r="2168" s="435" customFormat="1" x14ac:dyDescent="0.3"/>
    <row r="2169" s="435" customFormat="1" x14ac:dyDescent="0.3"/>
    <row r="2170" s="435" customFormat="1" x14ac:dyDescent="0.3"/>
    <row r="2171" s="435" customFormat="1" x14ac:dyDescent="0.3"/>
    <row r="2172" s="435" customFormat="1" x14ac:dyDescent="0.3"/>
    <row r="2173" s="435" customFormat="1" x14ac:dyDescent="0.3"/>
    <row r="2174" s="435" customFormat="1" x14ac:dyDescent="0.3"/>
    <row r="2175" s="435" customFormat="1" x14ac:dyDescent="0.3"/>
    <row r="2176" s="435" customFormat="1" x14ac:dyDescent="0.3"/>
    <row r="2177" s="435" customFormat="1" x14ac:dyDescent="0.3"/>
    <row r="2178" s="435" customFormat="1" x14ac:dyDescent="0.3"/>
    <row r="2179" s="435" customFormat="1" x14ac:dyDescent="0.3"/>
    <row r="2180" s="435" customFormat="1" x14ac:dyDescent="0.3"/>
    <row r="2181" s="435" customFormat="1" x14ac:dyDescent="0.3"/>
    <row r="2182" s="435" customFormat="1" x14ac:dyDescent="0.3"/>
    <row r="2183" s="435" customFormat="1" x14ac:dyDescent="0.3"/>
    <row r="2184" s="435" customFormat="1" x14ac:dyDescent="0.3"/>
    <row r="2185" s="435" customFormat="1" x14ac:dyDescent="0.3"/>
    <row r="2186" s="435" customFormat="1" x14ac:dyDescent="0.3"/>
    <row r="2187" s="435" customFormat="1" x14ac:dyDescent="0.3"/>
    <row r="2188" s="435" customFormat="1" x14ac:dyDescent="0.3"/>
    <row r="2189" s="435" customFormat="1" x14ac:dyDescent="0.3"/>
    <row r="2190" s="435" customFormat="1" x14ac:dyDescent="0.3"/>
    <row r="2191" s="435" customFormat="1" x14ac:dyDescent="0.3"/>
    <row r="2192" s="435" customFormat="1" x14ac:dyDescent="0.3"/>
    <row r="2193" s="435" customFormat="1" x14ac:dyDescent="0.3"/>
    <row r="2194" s="435" customFormat="1" x14ac:dyDescent="0.3"/>
    <row r="2195" s="435" customFormat="1" x14ac:dyDescent="0.3"/>
    <row r="2196" s="435" customFormat="1" x14ac:dyDescent="0.3"/>
    <row r="2197" s="435" customFormat="1" x14ac:dyDescent="0.3"/>
    <row r="2198" s="435" customFormat="1" x14ac:dyDescent="0.3"/>
    <row r="2199" s="435" customFormat="1" x14ac:dyDescent="0.3"/>
    <row r="2200" s="435" customFormat="1" x14ac:dyDescent="0.3"/>
    <row r="2201" s="435" customFormat="1" x14ac:dyDescent="0.3"/>
    <row r="2202" s="435" customFormat="1" x14ac:dyDescent="0.3"/>
    <row r="2203" s="435" customFormat="1" x14ac:dyDescent="0.3"/>
    <row r="2204" s="435" customFormat="1" x14ac:dyDescent="0.3"/>
    <row r="2205" s="435" customFormat="1" x14ac:dyDescent="0.3"/>
    <row r="2206" s="435" customFormat="1" x14ac:dyDescent="0.3"/>
    <row r="2207" s="435" customFormat="1" x14ac:dyDescent="0.3"/>
    <row r="2208" s="435" customFormat="1" x14ac:dyDescent="0.3"/>
    <row r="2209" s="435" customFormat="1" x14ac:dyDescent="0.3"/>
    <row r="2210" s="435" customFormat="1" x14ac:dyDescent="0.3"/>
    <row r="2211" s="435" customFormat="1" x14ac:dyDescent="0.3"/>
    <row r="2212" s="435" customFormat="1" x14ac:dyDescent="0.3"/>
    <row r="2213" s="435" customFormat="1" x14ac:dyDescent="0.3"/>
    <row r="2214" s="435" customFormat="1" x14ac:dyDescent="0.3"/>
    <row r="2215" s="435" customFormat="1" x14ac:dyDescent="0.3"/>
    <row r="2216" s="435" customFormat="1" x14ac:dyDescent="0.3"/>
    <row r="2217" s="435" customFormat="1" x14ac:dyDescent="0.3"/>
    <row r="2218" s="435" customFormat="1" x14ac:dyDescent="0.3"/>
    <row r="2219" s="435" customFormat="1" x14ac:dyDescent="0.3"/>
    <row r="2220" s="435" customFormat="1" x14ac:dyDescent="0.3"/>
    <row r="2221" s="435" customFormat="1" x14ac:dyDescent="0.3"/>
    <row r="2222" s="435" customFormat="1" x14ac:dyDescent="0.3"/>
    <row r="2223" s="435" customFormat="1" x14ac:dyDescent="0.3"/>
    <row r="2224" s="435" customFormat="1" x14ac:dyDescent="0.3"/>
    <row r="2225" s="435" customFormat="1" x14ac:dyDescent="0.3"/>
    <row r="2226" s="435" customFormat="1" x14ac:dyDescent="0.3"/>
    <row r="2227" s="435" customFormat="1" x14ac:dyDescent="0.3"/>
    <row r="2228" s="435" customFormat="1" x14ac:dyDescent="0.3"/>
    <row r="2229" s="435" customFormat="1" x14ac:dyDescent="0.3"/>
    <row r="2230" s="435" customFormat="1" x14ac:dyDescent="0.3"/>
    <row r="2231" s="435" customFormat="1" x14ac:dyDescent="0.3"/>
    <row r="2232" s="435" customFormat="1" x14ac:dyDescent="0.3"/>
    <row r="2233" s="435" customFormat="1" x14ac:dyDescent="0.3"/>
    <row r="2234" s="435" customFormat="1" x14ac:dyDescent="0.3"/>
    <row r="2235" s="435" customFormat="1" x14ac:dyDescent="0.3"/>
    <row r="2236" s="435" customFormat="1" x14ac:dyDescent="0.3"/>
    <row r="2237" s="435" customFormat="1" x14ac:dyDescent="0.3"/>
    <row r="2238" s="435" customFormat="1" x14ac:dyDescent="0.3"/>
    <row r="2239" s="435" customFormat="1" x14ac:dyDescent="0.3"/>
    <row r="2240" s="435" customFormat="1" x14ac:dyDescent="0.3"/>
    <row r="2241" s="435" customFormat="1" x14ac:dyDescent="0.3"/>
    <row r="2242" s="435" customFormat="1" x14ac:dyDescent="0.3"/>
    <row r="2243" s="435" customFormat="1" x14ac:dyDescent="0.3"/>
    <row r="2244" s="435" customFormat="1" x14ac:dyDescent="0.3"/>
    <row r="2245" s="435" customFormat="1" x14ac:dyDescent="0.3"/>
    <row r="2246" s="435" customFormat="1" x14ac:dyDescent="0.3"/>
    <row r="2247" s="435" customFormat="1" x14ac:dyDescent="0.3"/>
    <row r="2248" s="435" customFormat="1" x14ac:dyDescent="0.3"/>
    <row r="2249" s="435" customFormat="1" x14ac:dyDescent="0.3"/>
    <row r="2250" s="435" customFormat="1" x14ac:dyDescent="0.3"/>
    <row r="2251" s="435" customFormat="1" x14ac:dyDescent="0.3"/>
    <row r="2252" s="435" customFormat="1" x14ac:dyDescent="0.3"/>
    <row r="2253" s="435" customFormat="1" x14ac:dyDescent="0.3"/>
    <row r="2254" s="435" customFormat="1" x14ac:dyDescent="0.3"/>
    <row r="2255" s="435" customFormat="1" x14ac:dyDescent="0.3"/>
    <row r="2256" s="435" customFormat="1" x14ac:dyDescent="0.3"/>
    <row r="2257" s="435" customFormat="1" x14ac:dyDescent="0.3"/>
    <row r="2258" s="435" customFormat="1" x14ac:dyDescent="0.3"/>
    <row r="2259" s="435" customFormat="1" x14ac:dyDescent="0.3"/>
    <row r="2260" s="435" customFormat="1" x14ac:dyDescent="0.3"/>
    <row r="2261" s="435" customFormat="1" x14ac:dyDescent="0.3"/>
    <row r="2262" s="435" customFormat="1" x14ac:dyDescent="0.3"/>
    <row r="2263" s="435" customFormat="1" x14ac:dyDescent="0.3"/>
    <row r="2264" s="435" customFormat="1" x14ac:dyDescent="0.3"/>
    <row r="2265" s="435" customFormat="1" x14ac:dyDescent="0.3"/>
    <row r="2266" s="435" customFormat="1" x14ac:dyDescent="0.3"/>
    <row r="2267" s="435" customFormat="1" x14ac:dyDescent="0.3"/>
    <row r="2268" s="435" customFormat="1" x14ac:dyDescent="0.3"/>
    <row r="2269" s="435" customFormat="1" x14ac:dyDescent="0.3"/>
    <row r="2270" s="435" customFormat="1" x14ac:dyDescent="0.3"/>
    <row r="2271" s="435" customFormat="1" x14ac:dyDescent="0.3"/>
    <row r="2272" s="435" customFormat="1" x14ac:dyDescent="0.3"/>
    <row r="2273" s="435" customFormat="1" x14ac:dyDescent="0.3"/>
    <row r="2274" s="435" customFormat="1" x14ac:dyDescent="0.3"/>
    <row r="2275" s="435" customFormat="1" x14ac:dyDescent="0.3"/>
    <row r="2276" s="435" customFormat="1" x14ac:dyDescent="0.3"/>
    <row r="2277" s="435" customFormat="1" x14ac:dyDescent="0.3"/>
    <row r="2278" s="435" customFormat="1" x14ac:dyDescent="0.3"/>
    <row r="2279" s="435" customFormat="1" x14ac:dyDescent="0.3"/>
    <row r="2280" s="435" customFormat="1" x14ac:dyDescent="0.3"/>
    <row r="2281" s="435" customFormat="1" x14ac:dyDescent="0.3"/>
    <row r="2282" s="435" customFormat="1" x14ac:dyDescent="0.3"/>
    <row r="2283" s="435" customFormat="1" x14ac:dyDescent="0.3"/>
    <row r="2284" s="435" customFormat="1" x14ac:dyDescent="0.3"/>
    <row r="2285" s="435" customFormat="1" x14ac:dyDescent="0.3"/>
    <row r="2286" s="435" customFormat="1" x14ac:dyDescent="0.3"/>
    <row r="2287" s="435" customFormat="1" x14ac:dyDescent="0.3"/>
    <row r="2288" s="435" customFormat="1" x14ac:dyDescent="0.3"/>
    <row r="2289" s="435" customFormat="1" x14ac:dyDescent="0.3"/>
    <row r="2290" s="435" customFormat="1" x14ac:dyDescent="0.3"/>
    <row r="2291" s="435" customFormat="1" x14ac:dyDescent="0.3"/>
    <row r="2292" s="435" customFormat="1" x14ac:dyDescent="0.3"/>
    <row r="2293" s="435" customFormat="1" x14ac:dyDescent="0.3"/>
    <row r="2294" s="435" customFormat="1" x14ac:dyDescent="0.3"/>
    <row r="2295" s="435" customFormat="1" x14ac:dyDescent="0.3"/>
    <row r="2296" s="435" customFormat="1" x14ac:dyDescent="0.3"/>
    <row r="2297" s="435" customFormat="1" x14ac:dyDescent="0.3"/>
    <row r="2298" s="435" customFormat="1" x14ac:dyDescent="0.3"/>
    <row r="2299" s="435" customFormat="1" x14ac:dyDescent="0.3"/>
    <row r="2300" s="435" customFormat="1" x14ac:dyDescent="0.3"/>
    <row r="2301" s="435" customFormat="1" x14ac:dyDescent="0.3"/>
    <row r="2302" s="435" customFormat="1" x14ac:dyDescent="0.3"/>
    <row r="2303" s="435" customFormat="1" x14ac:dyDescent="0.3"/>
    <row r="2304" s="435" customFormat="1" x14ac:dyDescent="0.3"/>
    <row r="2305" s="435" customFormat="1" x14ac:dyDescent="0.3"/>
    <row r="2306" s="435" customFormat="1" x14ac:dyDescent="0.3"/>
    <row r="2307" s="435" customFormat="1" x14ac:dyDescent="0.3"/>
    <row r="2308" s="435" customFormat="1" x14ac:dyDescent="0.3"/>
    <row r="2309" s="435" customFormat="1" x14ac:dyDescent="0.3"/>
    <row r="2310" s="435" customFormat="1" x14ac:dyDescent="0.3"/>
    <row r="2311" s="435" customFormat="1" x14ac:dyDescent="0.3"/>
    <row r="2312" s="435" customFormat="1" x14ac:dyDescent="0.3"/>
    <row r="2313" s="435" customFormat="1" x14ac:dyDescent="0.3"/>
    <row r="2314" s="435" customFormat="1" x14ac:dyDescent="0.3"/>
    <row r="2315" s="435" customFormat="1" x14ac:dyDescent="0.3"/>
    <row r="2316" s="435" customFormat="1" x14ac:dyDescent="0.3"/>
    <row r="2317" s="435" customFormat="1" x14ac:dyDescent="0.3"/>
    <row r="2318" s="435" customFormat="1" x14ac:dyDescent="0.3"/>
    <row r="2319" s="435" customFormat="1" x14ac:dyDescent="0.3"/>
    <row r="2320" s="435" customFormat="1" x14ac:dyDescent="0.3"/>
    <row r="2321" s="435" customFormat="1" x14ac:dyDescent="0.3"/>
    <row r="2322" s="435" customFormat="1" x14ac:dyDescent="0.3"/>
    <row r="2323" s="435" customFormat="1" x14ac:dyDescent="0.3"/>
    <row r="2324" s="435" customFormat="1" x14ac:dyDescent="0.3"/>
    <row r="2325" s="435" customFormat="1" x14ac:dyDescent="0.3"/>
    <row r="2326" s="435" customFormat="1" x14ac:dyDescent="0.3"/>
    <row r="2327" s="435" customFormat="1" x14ac:dyDescent="0.3"/>
    <row r="2328" s="435" customFormat="1" x14ac:dyDescent="0.3"/>
    <row r="2329" s="435" customFormat="1" x14ac:dyDescent="0.3"/>
    <row r="2330" s="435" customFormat="1" x14ac:dyDescent="0.3"/>
    <row r="2331" s="435" customFormat="1" x14ac:dyDescent="0.3"/>
    <row r="2332" s="435" customFormat="1" x14ac:dyDescent="0.3"/>
    <row r="2333" s="435" customFormat="1" x14ac:dyDescent="0.3"/>
    <row r="2334" s="435" customFormat="1" x14ac:dyDescent="0.3"/>
    <row r="2335" s="435" customFormat="1" x14ac:dyDescent="0.3"/>
    <row r="2336" s="435" customFormat="1" x14ac:dyDescent="0.3"/>
    <row r="2337" s="435" customFormat="1" x14ac:dyDescent="0.3"/>
    <row r="2338" s="435" customFormat="1" x14ac:dyDescent="0.3"/>
    <row r="2339" s="435" customFormat="1" x14ac:dyDescent="0.3"/>
    <row r="2340" s="435" customFormat="1" x14ac:dyDescent="0.3"/>
    <row r="2341" s="435" customFormat="1" x14ac:dyDescent="0.3"/>
    <row r="2342" s="435" customFormat="1" x14ac:dyDescent="0.3"/>
    <row r="2343" s="435" customFormat="1" x14ac:dyDescent="0.3"/>
    <row r="2344" s="435" customFormat="1" x14ac:dyDescent="0.3"/>
    <row r="2345" s="435" customFormat="1" x14ac:dyDescent="0.3"/>
    <row r="2346" s="435" customFormat="1" x14ac:dyDescent="0.3"/>
    <row r="2347" s="435" customFormat="1" x14ac:dyDescent="0.3"/>
    <row r="2348" s="435" customFormat="1" x14ac:dyDescent="0.3"/>
    <row r="2349" s="435" customFormat="1" x14ac:dyDescent="0.3"/>
    <row r="2350" s="435" customFormat="1" x14ac:dyDescent="0.3"/>
    <row r="2351" s="435" customFormat="1" x14ac:dyDescent="0.3"/>
    <row r="2352" s="435" customFormat="1" x14ac:dyDescent="0.3"/>
    <row r="2353" s="435" customFormat="1" x14ac:dyDescent="0.3"/>
    <row r="2354" s="435" customFormat="1" x14ac:dyDescent="0.3"/>
    <row r="2355" s="435" customFormat="1" x14ac:dyDescent="0.3"/>
    <row r="2356" s="435" customFormat="1" x14ac:dyDescent="0.3"/>
    <row r="2357" s="435" customFormat="1" x14ac:dyDescent="0.3"/>
    <row r="2358" s="435" customFormat="1" x14ac:dyDescent="0.3"/>
    <row r="2359" s="435" customFormat="1" x14ac:dyDescent="0.3"/>
    <row r="2360" s="435" customFormat="1" x14ac:dyDescent="0.3"/>
    <row r="2361" s="435" customFormat="1" x14ac:dyDescent="0.3"/>
    <row r="2362" s="435" customFormat="1" x14ac:dyDescent="0.3"/>
    <row r="2363" s="435" customFormat="1" x14ac:dyDescent="0.3"/>
    <row r="2364" s="435" customFormat="1" x14ac:dyDescent="0.3"/>
    <row r="2365" s="435" customFormat="1" x14ac:dyDescent="0.3"/>
    <row r="2366" s="435" customFormat="1" x14ac:dyDescent="0.3"/>
    <row r="2367" s="435" customFormat="1" x14ac:dyDescent="0.3"/>
    <row r="2368" s="435" customFormat="1" x14ac:dyDescent="0.3"/>
    <row r="2369" s="435" customFormat="1" x14ac:dyDescent="0.3"/>
    <row r="2370" s="435" customFormat="1" x14ac:dyDescent="0.3"/>
    <row r="2371" s="435" customFormat="1" x14ac:dyDescent="0.3"/>
    <row r="2372" s="435" customFormat="1" x14ac:dyDescent="0.3"/>
    <row r="2373" s="435" customFormat="1" x14ac:dyDescent="0.3"/>
    <row r="2374" s="435" customFormat="1" x14ac:dyDescent="0.3"/>
    <row r="2375" s="435" customFormat="1" x14ac:dyDescent="0.3"/>
    <row r="2376" s="435" customFormat="1" x14ac:dyDescent="0.3"/>
    <row r="2377" s="435" customFormat="1" x14ac:dyDescent="0.3"/>
    <row r="2378" s="435" customFormat="1" x14ac:dyDescent="0.3"/>
    <row r="2379" s="435" customFormat="1" x14ac:dyDescent="0.3"/>
    <row r="2380" s="435" customFormat="1" x14ac:dyDescent="0.3"/>
    <row r="2381" s="435" customFormat="1" x14ac:dyDescent="0.3"/>
    <row r="2382" s="435" customFormat="1" x14ac:dyDescent="0.3"/>
    <row r="2383" s="435" customFormat="1" x14ac:dyDescent="0.3"/>
    <row r="2384" s="435" customFormat="1" x14ac:dyDescent="0.3"/>
    <row r="2385" s="435" customFormat="1" x14ac:dyDescent="0.3"/>
    <row r="2386" s="435" customFormat="1" x14ac:dyDescent="0.3"/>
    <row r="2387" s="435" customFormat="1" x14ac:dyDescent="0.3"/>
    <row r="2388" s="435" customFormat="1" x14ac:dyDescent="0.3"/>
    <row r="2389" s="435" customFormat="1" x14ac:dyDescent="0.3"/>
    <row r="2390" s="435" customFormat="1" x14ac:dyDescent="0.3"/>
    <row r="2391" s="435" customFormat="1" x14ac:dyDescent="0.3"/>
    <row r="2392" s="435" customFormat="1" x14ac:dyDescent="0.3"/>
    <row r="2393" s="435" customFormat="1" x14ac:dyDescent="0.3"/>
    <row r="2394" s="435" customFormat="1" x14ac:dyDescent="0.3"/>
    <row r="2395" s="435" customFormat="1" x14ac:dyDescent="0.3"/>
    <row r="2396" s="435" customFormat="1" x14ac:dyDescent="0.3"/>
    <row r="2397" s="435" customFormat="1" x14ac:dyDescent="0.3"/>
    <row r="2398" s="435" customFormat="1" x14ac:dyDescent="0.3"/>
    <row r="2399" s="435" customFormat="1" x14ac:dyDescent="0.3"/>
    <row r="2400" s="435" customFormat="1" x14ac:dyDescent="0.3"/>
    <row r="2401" s="435" customFormat="1" x14ac:dyDescent="0.3"/>
    <row r="2402" s="435" customFormat="1" x14ac:dyDescent="0.3"/>
    <row r="2403" s="435" customFormat="1" x14ac:dyDescent="0.3"/>
    <row r="2404" s="435" customFormat="1" x14ac:dyDescent="0.3"/>
    <row r="2405" s="435" customFormat="1" x14ac:dyDescent="0.3"/>
    <row r="2406" s="435" customFormat="1" x14ac:dyDescent="0.3"/>
    <row r="2407" s="435" customFormat="1" x14ac:dyDescent="0.3"/>
    <row r="2408" s="435" customFormat="1" x14ac:dyDescent="0.3"/>
    <row r="2409" s="435" customFormat="1" x14ac:dyDescent="0.3"/>
    <row r="2410" s="435" customFormat="1" x14ac:dyDescent="0.3"/>
    <row r="2411" s="435" customFormat="1" x14ac:dyDescent="0.3"/>
    <row r="2412" s="435" customFormat="1" x14ac:dyDescent="0.3"/>
    <row r="2413" s="435" customFormat="1" x14ac:dyDescent="0.3"/>
    <row r="2414" s="435" customFormat="1" x14ac:dyDescent="0.3"/>
    <row r="2415" s="435" customFormat="1" x14ac:dyDescent="0.3"/>
    <row r="2416" s="435" customFormat="1" x14ac:dyDescent="0.3"/>
    <row r="2417" s="435" customFormat="1" x14ac:dyDescent="0.3"/>
    <row r="2418" s="435" customFormat="1" x14ac:dyDescent="0.3"/>
    <row r="2419" s="435" customFormat="1" x14ac:dyDescent="0.3"/>
    <row r="2420" s="435" customFormat="1" x14ac:dyDescent="0.3"/>
    <row r="2421" s="435" customFormat="1" x14ac:dyDescent="0.3"/>
    <row r="2422" s="435" customFormat="1" x14ac:dyDescent="0.3"/>
    <row r="2423" s="435" customFormat="1" x14ac:dyDescent="0.3"/>
    <row r="2424" s="435" customFormat="1" x14ac:dyDescent="0.3"/>
    <row r="2425" s="435" customFormat="1" x14ac:dyDescent="0.3"/>
    <row r="2426" s="435" customFormat="1" x14ac:dyDescent="0.3"/>
    <row r="2427" s="435" customFormat="1" x14ac:dyDescent="0.3"/>
    <row r="2428" s="435" customFormat="1" x14ac:dyDescent="0.3"/>
    <row r="2429" s="435" customFormat="1" x14ac:dyDescent="0.3"/>
    <row r="2430" s="435" customFormat="1" x14ac:dyDescent="0.3"/>
    <row r="2431" s="435" customFormat="1" x14ac:dyDescent="0.3"/>
    <row r="2432" s="435" customFormat="1" x14ac:dyDescent="0.3"/>
    <row r="2433" s="435" customFormat="1" x14ac:dyDescent="0.3"/>
    <row r="2434" s="435" customFormat="1" x14ac:dyDescent="0.3"/>
    <row r="2435" s="435" customFormat="1" x14ac:dyDescent="0.3"/>
    <row r="2436" s="435" customFormat="1" x14ac:dyDescent="0.3"/>
    <row r="2437" s="435" customFormat="1" x14ac:dyDescent="0.3"/>
    <row r="2438" s="435" customFormat="1" x14ac:dyDescent="0.3"/>
    <row r="2439" s="435" customFormat="1" x14ac:dyDescent="0.3"/>
    <row r="2440" s="435" customFormat="1" x14ac:dyDescent="0.3"/>
    <row r="2441" s="435" customFormat="1" x14ac:dyDescent="0.3"/>
    <row r="2442" s="435" customFormat="1" x14ac:dyDescent="0.3"/>
    <row r="2443" s="435" customFormat="1" x14ac:dyDescent="0.3"/>
    <row r="2444" s="435" customFormat="1" x14ac:dyDescent="0.3"/>
    <row r="2445" s="435" customFormat="1" x14ac:dyDescent="0.3"/>
    <row r="2446" s="435" customFormat="1" x14ac:dyDescent="0.3"/>
    <row r="2447" s="435" customFormat="1" x14ac:dyDescent="0.3"/>
    <row r="2448" s="435" customFormat="1" x14ac:dyDescent="0.3"/>
    <row r="2449" s="435" customFormat="1" x14ac:dyDescent="0.3"/>
    <row r="2450" s="435" customFormat="1" x14ac:dyDescent="0.3"/>
    <row r="2451" s="435" customFormat="1" x14ac:dyDescent="0.3"/>
    <row r="2452" s="435" customFormat="1" x14ac:dyDescent="0.3"/>
    <row r="2453" s="435" customFormat="1" x14ac:dyDescent="0.3"/>
    <row r="2454" s="435" customFormat="1" x14ac:dyDescent="0.3"/>
    <row r="2455" s="435" customFormat="1" x14ac:dyDescent="0.3"/>
    <row r="2456" s="435" customFormat="1" x14ac:dyDescent="0.3"/>
    <row r="2457" s="435" customFormat="1" x14ac:dyDescent="0.3"/>
    <row r="2458" s="435" customFormat="1" x14ac:dyDescent="0.3"/>
    <row r="2459" s="435" customFormat="1" x14ac:dyDescent="0.3"/>
    <row r="2460" s="435" customFormat="1" x14ac:dyDescent="0.3"/>
    <row r="2461" s="435" customFormat="1" x14ac:dyDescent="0.3"/>
    <row r="2462" s="435" customFormat="1" x14ac:dyDescent="0.3"/>
    <row r="2463" s="435" customFormat="1" x14ac:dyDescent="0.3"/>
    <row r="2464" s="435" customFormat="1" x14ac:dyDescent="0.3"/>
    <row r="2465" s="435" customFormat="1" x14ac:dyDescent="0.3"/>
    <row r="2466" s="435" customFormat="1" x14ac:dyDescent="0.3"/>
    <row r="2467" s="435" customFormat="1" x14ac:dyDescent="0.3"/>
    <row r="2468" s="435" customFormat="1" x14ac:dyDescent="0.3"/>
    <row r="2469" s="435" customFormat="1" x14ac:dyDescent="0.3"/>
    <row r="2470" s="435" customFormat="1" x14ac:dyDescent="0.3"/>
    <row r="2471" s="435" customFormat="1" x14ac:dyDescent="0.3"/>
    <row r="2472" s="435" customFormat="1" x14ac:dyDescent="0.3"/>
    <row r="2473" s="435" customFormat="1" x14ac:dyDescent="0.3"/>
    <row r="2474" s="435" customFormat="1" x14ac:dyDescent="0.3"/>
    <row r="2475" s="435" customFormat="1" x14ac:dyDescent="0.3"/>
    <row r="2476" s="435" customFormat="1" x14ac:dyDescent="0.3"/>
    <row r="2477" s="435" customFormat="1" x14ac:dyDescent="0.3"/>
    <row r="2478" s="435" customFormat="1" x14ac:dyDescent="0.3"/>
    <row r="2479" s="435" customFormat="1" x14ac:dyDescent="0.3"/>
    <row r="2480" s="435" customFormat="1" x14ac:dyDescent="0.3"/>
    <row r="2481" s="435" customFormat="1" x14ac:dyDescent="0.3"/>
    <row r="2482" s="435" customFormat="1" x14ac:dyDescent="0.3"/>
    <row r="2483" s="435" customFormat="1" x14ac:dyDescent="0.3"/>
    <row r="2484" s="435" customFormat="1" x14ac:dyDescent="0.3"/>
    <row r="2485" s="435" customFormat="1" x14ac:dyDescent="0.3"/>
    <row r="2486" s="435" customFormat="1" x14ac:dyDescent="0.3"/>
    <row r="2487" s="435" customFormat="1" x14ac:dyDescent="0.3"/>
    <row r="2488" s="435" customFormat="1" x14ac:dyDescent="0.3"/>
    <row r="2489" s="435" customFormat="1" x14ac:dyDescent="0.3"/>
    <row r="2490" s="435" customFormat="1" x14ac:dyDescent="0.3"/>
    <row r="2491" s="435" customFormat="1" x14ac:dyDescent="0.3"/>
    <row r="2492" s="435" customFormat="1" x14ac:dyDescent="0.3"/>
    <row r="2493" s="435" customFormat="1" x14ac:dyDescent="0.3"/>
    <row r="2494" s="435" customFormat="1" x14ac:dyDescent="0.3"/>
    <row r="2495" s="435" customFormat="1" x14ac:dyDescent="0.3"/>
    <row r="2496" s="435" customFormat="1" x14ac:dyDescent="0.3"/>
    <row r="2497" s="435" customFormat="1" x14ac:dyDescent="0.3"/>
    <row r="2498" s="435" customFormat="1" x14ac:dyDescent="0.3"/>
    <row r="2499" s="435" customFormat="1" x14ac:dyDescent="0.3"/>
    <row r="2500" s="435" customFormat="1" x14ac:dyDescent="0.3"/>
    <row r="2501" s="435" customFormat="1" x14ac:dyDescent="0.3"/>
    <row r="2502" s="435" customFormat="1" x14ac:dyDescent="0.3"/>
    <row r="2503" s="435" customFormat="1" x14ac:dyDescent="0.3"/>
    <row r="2504" s="435" customFormat="1" x14ac:dyDescent="0.3"/>
    <row r="2505" s="435" customFormat="1" x14ac:dyDescent="0.3"/>
    <row r="2506" s="435" customFormat="1" x14ac:dyDescent="0.3"/>
    <row r="2507" s="435" customFormat="1" x14ac:dyDescent="0.3"/>
    <row r="2508" s="435" customFormat="1" x14ac:dyDescent="0.3"/>
    <row r="2509" s="435" customFormat="1" x14ac:dyDescent="0.3"/>
    <row r="2510" s="435" customFormat="1" x14ac:dyDescent="0.3"/>
    <row r="2511" s="435" customFormat="1" x14ac:dyDescent="0.3"/>
    <row r="2512" s="435" customFormat="1" x14ac:dyDescent="0.3"/>
    <row r="2513" s="435" customFormat="1" x14ac:dyDescent="0.3"/>
    <row r="2514" s="435" customFormat="1" x14ac:dyDescent="0.3"/>
    <row r="2515" s="435" customFormat="1" x14ac:dyDescent="0.3"/>
    <row r="2516" s="435" customFormat="1" x14ac:dyDescent="0.3"/>
    <row r="2517" s="435" customFormat="1" x14ac:dyDescent="0.3"/>
    <row r="2518" s="435" customFormat="1" x14ac:dyDescent="0.3"/>
    <row r="2519" s="435" customFormat="1" x14ac:dyDescent="0.3"/>
    <row r="2520" s="435" customFormat="1" x14ac:dyDescent="0.3"/>
    <row r="2521" s="435" customFormat="1" x14ac:dyDescent="0.3"/>
    <row r="2522" s="435" customFormat="1" x14ac:dyDescent="0.3"/>
    <row r="2523" s="435" customFormat="1" x14ac:dyDescent="0.3"/>
    <row r="2524" s="435" customFormat="1" x14ac:dyDescent="0.3"/>
    <row r="2525" s="435" customFormat="1" x14ac:dyDescent="0.3"/>
    <row r="2526" s="435" customFormat="1" x14ac:dyDescent="0.3"/>
    <row r="2527" s="435" customFormat="1" x14ac:dyDescent="0.3"/>
    <row r="2528" s="435" customFormat="1" x14ac:dyDescent="0.3"/>
    <row r="2529" s="435" customFormat="1" x14ac:dyDescent="0.3"/>
    <row r="2530" s="435" customFormat="1" x14ac:dyDescent="0.3"/>
    <row r="2531" s="435" customFormat="1" x14ac:dyDescent="0.3"/>
    <row r="2532" s="435" customFormat="1" x14ac:dyDescent="0.3"/>
    <row r="2533" s="435" customFormat="1" x14ac:dyDescent="0.3"/>
    <row r="2534" s="435" customFormat="1" x14ac:dyDescent="0.3"/>
    <row r="2535" s="435" customFormat="1" x14ac:dyDescent="0.3"/>
    <row r="2536" s="435" customFormat="1" x14ac:dyDescent="0.3"/>
    <row r="2537" s="435" customFormat="1" x14ac:dyDescent="0.3"/>
    <row r="2538" s="435" customFormat="1" x14ac:dyDescent="0.3"/>
    <row r="2539" s="435" customFormat="1" x14ac:dyDescent="0.3"/>
    <row r="2540" s="435" customFormat="1" x14ac:dyDescent="0.3"/>
    <row r="2541" s="435" customFormat="1" x14ac:dyDescent="0.3"/>
    <row r="2542" s="435" customFormat="1" x14ac:dyDescent="0.3"/>
    <row r="2543" s="435" customFormat="1" x14ac:dyDescent="0.3"/>
    <row r="2544" s="435" customFormat="1" x14ac:dyDescent="0.3"/>
    <row r="2545" s="435" customFormat="1" x14ac:dyDescent="0.3"/>
    <row r="2546" s="435" customFormat="1" x14ac:dyDescent="0.3"/>
    <row r="2547" s="435" customFormat="1" x14ac:dyDescent="0.3"/>
    <row r="2548" s="435" customFormat="1" x14ac:dyDescent="0.3"/>
    <row r="2549" s="435" customFormat="1" x14ac:dyDescent="0.3"/>
    <row r="2550" s="435" customFormat="1" x14ac:dyDescent="0.3"/>
    <row r="2551" s="435" customFormat="1" x14ac:dyDescent="0.3"/>
    <row r="2552" s="435" customFormat="1" x14ac:dyDescent="0.3"/>
    <row r="2553" s="435" customFormat="1" x14ac:dyDescent="0.3"/>
    <row r="2554" s="435" customFormat="1" x14ac:dyDescent="0.3"/>
    <row r="2555" s="435" customFormat="1" x14ac:dyDescent="0.3"/>
    <row r="2556" s="435" customFormat="1" x14ac:dyDescent="0.3"/>
    <row r="2557" s="435" customFormat="1" x14ac:dyDescent="0.3"/>
    <row r="2558" s="435" customFormat="1" x14ac:dyDescent="0.3"/>
    <row r="2559" s="435" customFormat="1" x14ac:dyDescent="0.3"/>
    <row r="2560" s="435" customFormat="1" x14ac:dyDescent="0.3"/>
    <row r="2561" s="435" customFormat="1" x14ac:dyDescent="0.3"/>
    <row r="2562" s="435" customFormat="1" x14ac:dyDescent="0.3"/>
    <row r="2563" s="435" customFormat="1" x14ac:dyDescent="0.3"/>
    <row r="2564" s="435" customFormat="1" x14ac:dyDescent="0.3"/>
    <row r="2565" s="435" customFormat="1" x14ac:dyDescent="0.3"/>
    <row r="2566" s="435" customFormat="1" x14ac:dyDescent="0.3"/>
    <row r="2567" s="435" customFormat="1" x14ac:dyDescent="0.3"/>
    <row r="2568" s="435" customFormat="1" x14ac:dyDescent="0.3"/>
    <row r="2569" s="435" customFormat="1" x14ac:dyDescent="0.3"/>
    <row r="2570" s="435" customFormat="1" x14ac:dyDescent="0.3"/>
    <row r="2571" s="435" customFormat="1" x14ac:dyDescent="0.3"/>
    <row r="2572" s="435" customFormat="1" x14ac:dyDescent="0.3"/>
    <row r="2573" s="435" customFormat="1" x14ac:dyDescent="0.3"/>
    <row r="2574" s="435" customFormat="1" x14ac:dyDescent="0.3"/>
    <row r="2575" s="435" customFormat="1" x14ac:dyDescent="0.3"/>
    <row r="2576" s="435" customFormat="1" x14ac:dyDescent="0.3"/>
    <row r="2577" s="435" customFormat="1" x14ac:dyDescent="0.3"/>
    <row r="2578" s="435" customFormat="1" x14ac:dyDescent="0.3"/>
    <row r="2579" s="435" customFormat="1" x14ac:dyDescent="0.3"/>
    <row r="2580" s="435" customFormat="1" x14ac:dyDescent="0.3"/>
    <row r="2581" s="435" customFormat="1" x14ac:dyDescent="0.3"/>
    <row r="2582" s="435" customFormat="1" x14ac:dyDescent="0.3"/>
    <row r="2583" s="435" customFormat="1" x14ac:dyDescent="0.3"/>
    <row r="2584" s="435" customFormat="1" x14ac:dyDescent="0.3"/>
    <row r="2585" s="435" customFormat="1" x14ac:dyDescent="0.3"/>
    <row r="2586" s="435" customFormat="1" x14ac:dyDescent="0.3"/>
    <row r="2587" s="435" customFormat="1" x14ac:dyDescent="0.3"/>
    <row r="2588" s="435" customFormat="1" x14ac:dyDescent="0.3"/>
    <row r="2589" s="435" customFormat="1" x14ac:dyDescent="0.3"/>
    <row r="2590" s="435" customFormat="1" x14ac:dyDescent="0.3"/>
    <row r="2591" s="435" customFormat="1" x14ac:dyDescent="0.3"/>
    <row r="2592" s="435" customFormat="1" x14ac:dyDescent="0.3"/>
    <row r="2593" s="435" customFormat="1" x14ac:dyDescent="0.3"/>
    <row r="2594" s="435" customFormat="1" x14ac:dyDescent="0.3"/>
    <row r="2595" s="435" customFormat="1" x14ac:dyDescent="0.3"/>
    <row r="2596" s="435" customFormat="1" x14ac:dyDescent="0.3"/>
    <row r="2597" s="435" customFormat="1" x14ac:dyDescent="0.3"/>
    <row r="2598" s="435" customFormat="1" x14ac:dyDescent="0.3"/>
    <row r="2599" s="435" customFormat="1" x14ac:dyDescent="0.3"/>
    <row r="2600" s="435" customFormat="1" x14ac:dyDescent="0.3"/>
    <row r="2601" s="435" customFormat="1" x14ac:dyDescent="0.3"/>
    <row r="2602" s="435" customFormat="1" x14ac:dyDescent="0.3"/>
    <row r="2603" s="435" customFormat="1" x14ac:dyDescent="0.3"/>
    <row r="2604" s="435" customFormat="1" x14ac:dyDescent="0.3"/>
    <row r="2605" s="435" customFormat="1" x14ac:dyDescent="0.3"/>
    <row r="2606" s="435" customFormat="1" x14ac:dyDescent="0.3"/>
    <row r="2607" s="435" customFormat="1" x14ac:dyDescent="0.3"/>
    <row r="2608" s="435" customFormat="1" x14ac:dyDescent="0.3"/>
    <row r="2609" s="435" customFormat="1" x14ac:dyDescent="0.3"/>
    <row r="2610" s="435" customFormat="1" x14ac:dyDescent="0.3"/>
    <row r="2611" s="435" customFormat="1" x14ac:dyDescent="0.3"/>
    <row r="2612" s="435" customFormat="1" x14ac:dyDescent="0.3"/>
    <row r="2613" s="435" customFormat="1" x14ac:dyDescent="0.3"/>
    <row r="2614" s="435" customFormat="1" x14ac:dyDescent="0.3"/>
    <row r="2615" s="435" customFormat="1" x14ac:dyDescent="0.3"/>
    <row r="2616" s="435" customFormat="1" x14ac:dyDescent="0.3"/>
    <row r="2617" s="435" customFormat="1" x14ac:dyDescent="0.3"/>
    <row r="2618" s="435" customFormat="1" x14ac:dyDescent="0.3"/>
    <row r="2619" s="435" customFormat="1" x14ac:dyDescent="0.3"/>
    <row r="2620" s="435" customFormat="1" x14ac:dyDescent="0.3"/>
    <row r="2621" s="435" customFormat="1" x14ac:dyDescent="0.3"/>
    <row r="2622" s="435" customFormat="1" x14ac:dyDescent="0.3"/>
    <row r="2623" s="435" customFormat="1" x14ac:dyDescent="0.3"/>
    <row r="2624" s="435" customFormat="1" x14ac:dyDescent="0.3"/>
    <row r="2625" s="435" customFormat="1" x14ac:dyDescent="0.3"/>
    <row r="2626" s="435" customFormat="1" x14ac:dyDescent="0.3"/>
    <row r="2627" s="435" customFormat="1" x14ac:dyDescent="0.3"/>
    <row r="2628" s="435" customFormat="1" x14ac:dyDescent="0.3"/>
    <row r="2629" s="435" customFormat="1" x14ac:dyDescent="0.3"/>
    <row r="2630" s="435" customFormat="1" x14ac:dyDescent="0.3"/>
    <row r="2631" s="435" customFormat="1" x14ac:dyDescent="0.3"/>
    <row r="2632" s="435" customFormat="1" x14ac:dyDescent="0.3"/>
    <row r="2633" s="435" customFormat="1" x14ac:dyDescent="0.3"/>
    <row r="2634" s="435" customFormat="1" x14ac:dyDescent="0.3"/>
    <row r="2635" s="435" customFormat="1" x14ac:dyDescent="0.3"/>
    <row r="2636" s="435" customFormat="1" x14ac:dyDescent="0.3"/>
    <row r="2637" s="435" customFormat="1" x14ac:dyDescent="0.3"/>
    <row r="2638" s="435" customFormat="1" x14ac:dyDescent="0.3"/>
    <row r="2639" s="435" customFormat="1" x14ac:dyDescent="0.3"/>
    <row r="2640" s="435" customFormat="1" x14ac:dyDescent="0.3"/>
    <row r="2641" s="435" customFormat="1" x14ac:dyDescent="0.3"/>
    <row r="2642" s="435" customFormat="1" x14ac:dyDescent="0.3"/>
    <row r="2643" s="435" customFormat="1" x14ac:dyDescent="0.3"/>
    <row r="2644" s="435" customFormat="1" x14ac:dyDescent="0.3"/>
    <row r="2645" s="435" customFormat="1" x14ac:dyDescent="0.3"/>
    <row r="2646" s="435" customFormat="1" x14ac:dyDescent="0.3"/>
    <row r="2647" s="435" customFormat="1" x14ac:dyDescent="0.3"/>
    <row r="2648" s="435" customFormat="1" x14ac:dyDescent="0.3"/>
    <row r="2649" s="435" customFormat="1" x14ac:dyDescent="0.3"/>
    <row r="2650" s="435" customFormat="1" x14ac:dyDescent="0.3"/>
    <row r="2651" s="435" customFormat="1" x14ac:dyDescent="0.3"/>
    <row r="2652" s="435" customFormat="1" x14ac:dyDescent="0.3"/>
    <row r="2653" s="435" customFormat="1" x14ac:dyDescent="0.3"/>
    <row r="2654" s="435" customFormat="1" x14ac:dyDescent="0.3"/>
    <row r="2655" s="435" customFormat="1" x14ac:dyDescent="0.3"/>
    <row r="2656" s="435" customFormat="1" x14ac:dyDescent="0.3"/>
    <row r="2657" s="435" customFormat="1" x14ac:dyDescent="0.3"/>
    <row r="2658" s="435" customFormat="1" x14ac:dyDescent="0.3"/>
    <row r="2659" s="435" customFormat="1" x14ac:dyDescent="0.3"/>
    <row r="2660" s="435" customFormat="1" x14ac:dyDescent="0.3"/>
    <row r="2661" s="435" customFormat="1" x14ac:dyDescent="0.3"/>
    <row r="2662" s="435" customFormat="1" x14ac:dyDescent="0.3"/>
    <row r="2663" s="435" customFormat="1" x14ac:dyDescent="0.3"/>
    <row r="2664" s="435" customFormat="1" x14ac:dyDescent="0.3"/>
    <row r="2665" s="435" customFormat="1" x14ac:dyDescent="0.3"/>
    <row r="2666" s="435" customFormat="1" x14ac:dyDescent="0.3"/>
    <row r="2667" s="435" customFormat="1" x14ac:dyDescent="0.3"/>
    <row r="2668" s="435" customFormat="1" x14ac:dyDescent="0.3"/>
    <row r="2669" s="435" customFormat="1" x14ac:dyDescent="0.3"/>
    <row r="2670" s="435" customFormat="1" x14ac:dyDescent="0.3"/>
    <row r="2671" s="435" customFormat="1" x14ac:dyDescent="0.3"/>
    <row r="2672" s="435" customFormat="1" x14ac:dyDescent="0.3"/>
    <row r="2673" s="435" customFormat="1" x14ac:dyDescent="0.3"/>
    <row r="2674" s="435" customFormat="1" x14ac:dyDescent="0.3"/>
    <row r="2675" s="435" customFormat="1" x14ac:dyDescent="0.3"/>
    <row r="2676" s="435" customFormat="1" x14ac:dyDescent="0.3"/>
    <row r="2677" s="435" customFormat="1" x14ac:dyDescent="0.3"/>
    <row r="2678" s="435" customFormat="1" x14ac:dyDescent="0.3"/>
    <row r="2679" s="435" customFormat="1" x14ac:dyDescent="0.3"/>
    <row r="2680" s="435" customFormat="1" x14ac:dyDescent="0.3"/>
    <row r="2681" s="435" customFormat="1" x14ac:dyDescent="0.3"/>
    <row r="2682" s="435" customFormat="1" x14ac:dyDescent="0.3"/>
    <row r="2683" s="435" customFormat="1" x14ac:dyDescent="0.3"/>
    <row r="2684" s="435" customFormat="1" x14ac:dyDescent="0.3"/>
    <row r="2685" s="435" customFormat="1" x14ac:dyDescent="0.3"/>
    <row r="2686" s="435" customFormat="1" x14ac:dyDescent="0.3"/>
    <row r="2687" s="435" customFormat="1" x14ac:dyDescent="0.3"/>
    <row r="2688" s="435" customFormat="1" x14ac:dyDescent="0.3"/>
    <row r="2689" s="435" customFormat="1" x14ac:dyDescent="0.3"/>
    <row r="2690" s="435" customFormat="1" x14ac:dyDescent="0.3"/>
    <row r="2691" s="435" customFormat="1" x14ac:dyDescent="0.3"/>
    <row r="2692" s="435" customFormat="1" x14ac:dyDescent="0.3"/>
    <row r="2693" s="435" customFormat="1" x14ac:dyDescent="0.3"/>
    <row r="2694" s="435" customFormat="1" x14ac:dyDescent="0.3"/>
    <row r="2695" s="435" customFormat="1" x14ac:dyDescent="0.3"/>
    <row r="2696" s="435" customFormat="1" x14ac:dyDescent="0.3"/>
    <row r="2697" s="435" customFormat="1" x14ac:dyDescent="0.3"/>
    <row r="2698" s="435" customFormat="1" x14ac:dyDescent="0.3"/>
    <row r="2699" s="435" customFormat="1" x14ac:dyDescent="0.3"/>
    <row r="2700" s="435" customFormat="1" x14ac:dyDescent="0.3"/>
    <row r="2701" s="435" customFormat="1" x14ac:dyDescent="0.3"/>
    <row r="2702" s="435" customFormat="1" x14ac:dyDescent="0.3"/>
    <row r="2703" s="435" customFormat="1" x14ac:dyDescent="0.3"/>
    <row r="2704" s="435" customFormat="1" x14ac:dyDescent="0.3"/>
    <row r="2705" s="435" customFormat="1" x14ac:dyDescent="0.3"/>
    <row r="2706" s="435" customFormat="1" x14ac:dyDescent="0.3"/>
    <row r="2707" s="435" customFormat="1" x14ac:dyDescent="0.3"/>
    <row r="2708" s="435" customFormat="1" x14ac:dyDescent="0.3"/>
    <row r="2709" s="435" customFormat="1" x14ac:dyDescent="0.3"/>
    <row r="2710" s="435" customFormat="1" x14ac:dyDescent="0.3"/>
    <row r="2711" s="435" customFormat="1" x14ac:dyDescent="0.3"/>
    <row r="2712" s="435" customFormat="1" x14ac:dyDescent="0.3"/>
    <row r="2713" s="435" customFormat="1" x14ac:dyDescent="0.3"/>
    <row r="2714" s="435" customFormat="1" x14ac:dyDescent="0.3"/>
    <row r="2715" s="435" customFormat="1" x14ac:dyDescent="0.3"/>
    <row r="2716" s="435" customFormat="1" x14ac:dyDescent="0.3"/>
    <row r="2717" s="435" customFormat="1" x14ac:dyDescent="0.3"/>
    <row r="2718" s="435" customFormat="1" x14ac:dyDescent="0.3"/>
    <row r="2719" s="435" customFormat="1" x14ac:dyDescent="0.3"/>
    <row r="2720" s="435" customFormat="1" x14ac:dyDescent="0.3"/>
    <row r="2721" s="435" customFormat="1" x14ac:dyDescent="0.3"/>
    <row r="2722" s="435" customFormat="1" x14ac:dyDescent="0.3"/>
    <row r="2723" s="435" customFormat="1" x14ac:dyDescent="0.3"/>
    <row r="2724" s="435" customFormat="1" x14ac:dyDescent="0.3"/>
    <row r="2725" s="435" customFormat="1" x14ac:dyDescent="0.3"/>
    <row r="2726" s="435" customFormat="1" x14ac:dyDescent="0.3"/>
    <row r="2727" s="435" customFormat="1" x14ac:dyDescent="0.3"/>
    <row r="2728" s="435" customFormat="1" x14ac:dyDescent="0.3"/>
    <row r="2729" s="435" customFormat="1" x14ac:dyDescent="0.3"/>
    <row r="2730" s="435" customFormat="1" x14ac:dyDescent="0.3"/>
    <row r="2731" s="435" customFormat="1" x14ac:dyDescent="0.3"/>
    <row r="2732" s="435" customFormat="1" x14ac:dyDescent="0.3"/>
    <row r="2733" s="435" customFormat="1" x14ac:dyDescent="0.3"/>
    <row r="2734" s="435" customFormat="1" x14ac:dyDescent="0.3"/>
    <row r="2735" s="435" customFormat="1" x14ac:dyDescent="0.3"/>
    <row r="2736" s="435" customFormat="1" x14ac:dyDescent="0.3"/>
    <row r="2737" s="435" customFormat="1" x14ac:dyDescent="0.3"/>
    <row r="2738" s="435" customFormat="1" x14ac:dyDescent="0.3"/>
    <row r="2739" s="435" customFormat="1" x14ac:dyDescent="0.3"/>
    <row r="2740" s="435" customFormat="1" x14ac:dyDescent="0.3"/>
    <row r="2741" s="435" customFormat="1" x14ac:dyDescent="0.3"/>
    <row r="2742" s="435" customFormat="1" x14ac:dyDescent="0.3"/>
    <row r="2743" s="435" customFormat="1" x14ac:dyDescent="0.3"/>
    <row r="2744" s="435" customFormat="1" x14ac:dyDescent="0.3"/>
    <row r="2745" s="435" customFormat="1" x14ac:dyDescent="0.3"/>
    <row r="2746" s="435" customFormat="1" x14ac:dyDescent="0.3"/>
    <row r="2747" s="435" customFormat="1" x14ac:dyDescent="0.3"/>
    <row r="2748" s="435" customFormat="1" x14ac:dyDescent="0.3"/>
    <row r="2749" s="435" customFormat="1" x14ac:dyDescent="0.3"/>
    <row r="2750" s="435" customFormat="1" x14ac:dyDescent="0.3"/>
    <row r="2751" s="435" customFormat="1" x14ac:dyDescent="0.3"/>
    <row r="2752" s="435" customFormat="1" x14ac:dyDescent="0.3"/>
    <row r="2753" s="435" customFormat="1" x14ac:dyDescent="0.3"/>
    <row r="2754" s="435" customFormat="1" x14ac:dyDescent="0.3"/>
    <row r="2755" s="435" customFormat="1" x14ac:dyDescent="0.3"/>
    <row r="2756" s="435" customFormat="1" x14ac:dyDescent="0.3"/>
    <row r="2757" s="435" customFormat="1" x14ac:dyDescent="0.3"/>
    <row r="2758" s="435" customFormat="1" x14ac:dyDescent="0.3"/>
    <row r="2759" s="435" customFormat="1" x14ac:dyDescent="0.3"/>
    <row r="2760" s="435" customFormat="1" x14ac:dyDescent="0.3"/>
    <row r="2761" s="435" customFormat="1" x14ac:dyDescent="0.3"/>
    <row r="2762" s="435" customFormat="1" x14ac:dyDescent="0.3"/>
    <row r="2763" s="435" customFormat="1" x14ac:dyDescent="0.3"/>
    <row r="2764" s="435" customFormat="1" x14ac:dyDescent="0.3"/>
    <row r="2765" s="435" customFormat="1" x14ac:dyDescent="0.3"/>
    <row r="2766" s="435" customFormat="1" x14ac:dyDescent="0.3"/>
    <row r="2767" s="435" customFormat="1" x14ac:dyDescent="0.3"/>
    <row r="2768" s="435" customFormat="1" x14ac:dyDescent="0.3"/>
    <row r="2769" s="435" customFormat="1" x14ac:dyDescent="0.3"/>
    <row r="2770" s="435" customFormat="1" x14ac:dyDescent="0.3"/>
    <row r="2771" s="435" customFormat="1" x14ac:dyDescent="0.3"/>
    <row r="2772" s="435" customFormat="1" x14ac:dyDescent="0.3"/>
    <row r="2773" s="435" customFormat="1" x14ac:dyDescent="0.3"/>
    <row r="2774" s="435" customFormat="1" x14ac:dyDescent="0.3"/>
    <row r="2775" s="435" customFormat="1" x14ac:dyDescent="0.3"/>
    <row r="2776" s="435" customFormat="1" x14ac:dyDescent="0.3"/>
    <row r="2777" s="435" customFormat="1" x14ac:dyDescent="0.3"/>
    <row r="2778" s="435" customFormat="1" x14ac:dyDescent="0.3"/>
    <row r="2779" s="435" customFormat="1" x14ac:dyDescent="0.3"/>
    <row r="2780" s="435" customFormat="1" x14ac:dyDescent="0.3"/>
    <row r="2781" s="435" customFormat="1" x14ac:dyDescent="0.3"/>
    <row r="2782" s="435" customFormat="1" x14ac:dyDescent="0.3"/>
    <row r="2783" s="435" customFormat="1" x14ac:dyDescent="0.3"/>
    <row r="2784" s="435" customFormat="1" x14ac:dyDescent="0.3"/>
    <row r="2785" s="435" customFormat="1" x14ac:dyDescent="0.3"/>
    <row r="2786" s="435" customFormat="1" x14ac:dyDescent="0.3"/>
    <row r="2787" s="435" customFormat="1" x14ac:dyDescent="0.3"/>
    <row r="2788" s="435" customFormat="1" x14ac:dyDescent="0.3"/>
    <row r="2789" s="435" customFormat="1" x14ac:dyDescent="0.3"/>
    <row r="2790" s="435" customFormat="1" x14ac:dyDescent="0.3"/>
    <row r="2791" s="435" customFormat="1" x14ac:dyDescent="0.3"/>
    <row r="2792" s="435" customFormat="1" x14ac:dyDescent="0.3"/>
    <row r="2793" s="435" customFormat="1" x14ac:dyDescent="0.3"/>
    <row r="2794" s="435" customFormat="1" x14ac:dyDescent="0.3"/>
    <row r="2795" s="435" customFormat="1" x14ac:dyDescent="0.3"/>
    <row r="2796" s="435" customFormat="1" x14ac:dyDescent="0.3"/>
    <row r="2797" s="435" customFormat="1" x14ac:dyDescent="0.3"/>
    <row r="2798" s="435" customFormat="1" x14ac:dyDescent="0.3"/>
    <row r="2799" s="435" customFormat="1" x14ac:dyDescent="0.3"/>
    <row r="2800" s="435" customFormat="1" x14ac:dyDescent="0.3"/>
    <row r="2801" s="435" customFormat="1" x14ac:dyDescent="0.3"/>
    <row r="2802" s="435" customFormat="1" x14ac:dyDescent="0.3"/>
    <row r="2803" s="435" customFormat="1" x14ac:dyDescent="0.3"/>
    <row r="2804" s="435" customFormat="1" x14ac:dyDescent="0.3"/>
    <row r="2805" s="435" customFormat="1" x14ac:dyDescent="0.3"/>
    <row r="2806" s="435" customFormat="1" x14ac:dyDescent="0.3"/>
    <row r="2807" s="435" customFormat="1" x14ac:dyDescent="0.3"/>
    <row r="2808" s="435" customFormat="1" x14ac:dyDescent="0.3"/>
    <row r="2809" s="435" customFormat="1" x14ac:dyDescent="0.3"/>
    <row r="2810" s="435" customFormat="1" x14ac:dyDescent="0.3"/>
    <row r="2811" s="435" customFormat="1" x14ac:dyDescent="0.3"/>
    <row r="2812" s="435" customFormat="1" x14ac:dyDescent="0.3"/>
    <row r="2813" s="435" customFormat="1" x14ac:dyDescent="0.3"/>
    <row r="2814" s="435" customFormat="1" x14ac:dyDescent="0.3"/>
    <row r="2815" s="435" customFormat="1" x14ac:dyDescent="0.3"/>
    <row r="2816" s="435" customFormat="1" x14ac:dyDescent="0.3"/>
    <row r="2817" s="435" customFormat="1" x14ac:dyDescent="0.3"/>
    <row r="2818" s="435" customFormat="1" x14ac:dyDescent="0.3"/>
    <row r="2819" s="435" customFormat="1" x14ac:dyDescent="0.3"/>
    <row r="2820" s="435" customFormat="1" x14ac:dyDescent="0.3"/>
    <row r="2821" s="435" customFormat="1" x14ac:dyDescent="0.3"/>
    <row r="2822" s="435" customFormat="1" x14ac:dyDescent="0.3"/>
    <row r="2823" s="435" customFormat="1" x14ac:dyDescent="0.3"/>
    <row r="2824" s="435" customFormat="1" x14ac:dyDescent="0.3"/>
    <row r="2825" s="435" customFormat="1" x14ac:dyDescent="0.3"/>
    <row r="2826" s="435" customFormat="1" x14ac:dyDescent="0.3"/>
    <row r="2827" s="435" customFormat="1" x14ac:dyDescent="0.3"/>
    <row r="2828" s="435" customFormat="1" x14ac:dyDescent="0.3"/>
    <row r="2829" s="435" customFormat="1" x14ac:dyDescent="0.3"/>
    <row r="2830" s="435" customFormat="1" x14ac:dyDescent="0.3"/>
    <row r="2831" s="435" customFormat="1" x14ac:dyDescent="0.3"/>
    <row r="2832" s="435" customFormat="1" x14ac:dyDescent="0.3"/>
    <row r="2833" s="435" customFormat="1" x14ac:dyDescent="0.3"/>
    <row r="2834" s="435" customFormat="1" x14ac:dyDescent="0.3"/>
    <row r="2835" s="435" customFormat="1" x14ac:dyDescent="0.3"/>
    <row r="2836" s="435" customFormat="1" x14ac:dyDescent="0.3"/>
    <row r="2837" s="435" customFormat="1" x14ac:dyDescent="0.3"/>
    <row r="2838" s="435" customFormat="1" x14ac:dyDescent="0.3"/>
    <row r="2839" s="435" customFormat="1" x14ac:dyDescent="0.3"/>
    <row r="2840" s="435" customFormat="1" x14ac:dyDescent="0.3"/>
    <row r="2841" s="435" customFormat="1" x14ac:dyDescent="0.3"/>
    <row r="2842" s="435" customFormat="1" x14ac:dyDescent="0.3"/>
    <row r="2843" s="435" customFormat="1" x14ac:dyDescent="0.3"/>
    <row r="2844" s="435" customFormat="1" x14ac:dyDescent="0.3"/>
    <row r="2845" s="435" customFormat="1" x14ac:dyDescent="0.3"/>
    <row r="2846" s="435" customFormat="1" x14ac:dyDescent="0.3"/>
    <row r="2847" s="435" customFormat="1" x14ac:dyDescent="0.3"/>
    <row r="2848" s="435" customFormat="1" x14ac:dyDescent="0.3"/>
    <row r="2849" s="435" customFormat="1" x14ac:dyDescent="0.3"/>
    <row r="2850" s="435" customFormat="1" x14ac:dyDescent="0.3"/>
    <row r="2851" s="435" customFormat="1" x14ac:dyDescent="0.3"/>
    <row r="2852" s="435" customFormat="1" x14ac:dyDescent="0.3"/>
    <row r="2853" s="435" customFormat="1" x14ac:dyDescent="0.3"/>
    <row r="2854" s="435" customFormat="1" x14ac:dyDescent="0.3"/>
    <row r="2855" s="435" customFormat="1" x14ac:dyDescent="0.3"/>
    <row r="2856" s="435" customFormat="1" x14ac:dyDescent="0.3"/>
    <row r="2857" s="435" customFormat="1" x14ac:dyDescent="0.3"/>
    <row r="2858" s="435" customFormat="1" x14ac:dyDescent="0.3"/>
    <row r="2859" s="435" customFormat="1" x14ac:dyDescent="0.3"/>
    <row r="2860" s="435" customFormat="1" x14ac:dyDescent="0.3"/>
    <row r="2861" s="435" customFormat="1" x14ac:dyDescent="0.3"/>
    <row r="2862" s="435" customFormat="1" x14ac:dyDescent="0.3"/>
    <row r="2863" s="435" customFormat="1" x14ac:dyDescent="0.3"/>
    <row r="2864" s="435" customFormat="1" x14ac:dyDescent="0.3"/>
    <row r="2865" s="435" customFormat="1" x14ac:dyDescent="0.3"/>
    <row r="2866" s="435" customFormat="1" x14ac:dyDescent="0.3"/>
    <row r="2867" s="435" customFormat="1" x14ac:dyDescent="0.3"/>
    <row r="2868" s="435" customFormat="1" x14ac:dyDescent="0.3"/>
    <row r="2869" s="435" customFormat="1" x14ac:dyDescent="0.3"/>
    <row r="2870" s="435" customFormat="1" x14ac:dyDescent="0.3"/>
    <row r="2871" s="435" customFormat="1" x14ac:dyDescent="0.3"/>
    <row r="2872" s="435" customFormat="1" x14ac:dyDescent="0.3"/>
    <row r="2873" s="435" customFormat="1" x14ac:dyDescent="0.3"/>
    <row r="2874" s="435" customFormat="1" x14ac:dyDescent="0.3"/>
    <row r="2875" s="435" customFormat="1" x14ac:dyDescent="0.3"/>
    <row r="2876" s="435" customFormat="1" x14ac:dyDescent="0.3"/>
    <row r="2877" s="435" customFormat="1" x14ac:dyDescent="0.3"/>
    <row r="2878" s="435" customFormat="1" x14ac:dyDescent="0.3"/>
    <row r="2879" s="435" customFormat="1" x14ac:dyDescent="0.3"/>
    <row r="2880" s="435" customFormat="1" x14ac:dyDescent="0.3"/>
    <row r="2881" s="435" customFormat="1" x14ac:dyDescent="0.3"/>
    <row r="2882" s="435" customFormat="1" x14ac:dyDescent="0.3"/>
    <row r="2883" s="435" customFormat="1" x14ac:dyDescent="0.3"/>
    <row r="2884" s="435" customFormat="1" x14ac:dyDescent="0.3"/>
    <row r="2885" s="435" customFormat="1" x14ac:dyDescent="0.3"/>
    <row r="2886" s="435" customFormat="1" x14ac:dyDescent="0.3"/>
    <row r="2887" s="435" customFormat="1" x14ac:dyDescent="0.3"/>
    <row r="2888" s="435" customFormat="1" x14ac:dyDescent="0.3"/>
    <row r="2889" s="435" customFormat="1" x14ac:dyDescent="0.3"/>
    <row r="2890" s="435" customFormat="1" x14ac:dyDescent="0.3"/>
    <row r="2891" s="435" customFormat="1" x14ac:dyDescent="0.3"/>
    <row r="2892" s="435" customFormat="1" x14ac:dyDescent="0.3"/>
    <row r="2893" s="435" customFormat="1" x14ac:dyDescent="0.3"/>
    <row r="2894" s="435" customFormat="1" x14ac:dyDescent="0.3"/>
    <row r="2895" s="435" customFormat="1" x14ac:dyDescent="0.3"/>
    <row r="2896" s="435" customFormat="1" x14ac:dyDescent="0.3"/>
    <row r="2897" s="435" customFormat="1" x14ac:dyDescent="0.3"/>
    <row r="2898" s="435" customFormat="1" x14ac:dyDescent="0.3"/>
    <row r="2899" s="435" customFormat="1" x14ac:dyDescent="0.3"/>
    <row r="2900" s="435" customFormat="1" x14ac:dyDescent="0.3"/>
    <row r="2901" s="435" customFormat="1" x14ac:dyDescent="0.3"/>
    <row r="2902" s="435" customFormat="1" x14ac:dyDescent="0.3"/>
    <row r="2903" s="435" customFormat="1" x14ac:dyDescent="0.3"/>
    <row r="2904" s="435" customFormat="1" x14ac:dyDescent="0.3"/>
    <row r="2905" s="435" customFormat="1" x14ac:dyDescent="0.3"/>
    <row r="2906" s="435" customFormat="1" x14ac:dyDescent="0.3"/>
    <row r="2907" s="435" customFormat="1" x14ac:dyDescent="0.3"/>
    <row r="2908" s="435" customFormat="1" x14ac:dyDescent="0.3"/>
    <row r="2909" s="435" customFormat="1" x14ac:dyDescent="0.3"/>
    <row r="2910" s="435" customFormat="1" x14ac:dyDescent="0.3"/>
    <row r="2911" s="435" customFormat="1" x14ac:dyDescent="0.3"/>
    <row r="2912" s="435" customFormat="1" x14ac:dyDescent="0.3"/>
    <row r="2913" s="435" customFormat="1" x14ac:dyDescent="0.3"/>
    <row r="2914" s="435" customFormat="1" x14ac:dyDescent="0.3"/>
    <row r="2915" s="435" customFormat="1" x14ac:dyDescent="0.3"/>
    <row r="2916" s="435" customFormat="1" x14ac:dyDescent="0.3"/>
    <row r="2917" s="435" customFormat="1" x14ac:dyDescent="0.3"/>
    <row r="2918" s="435" customFormat="1" x14ac:dyDescent="0.3"/>
    <row r="2919" s="435" customFormat="1" x14ac:dyDescent="0.3"/>
    <row r="2920" s="435" customFormat="1" x14ac:dyDescent="0.3"/>
    <row r="2921" s="435" customFormat="1" x14ac:dyDescent="0.3"/>
    <row r="2922" s="435" customFormat="1" x14ac:dyDescent="0.3"/>
    <row r="2923" s="435" customFormat="1" x14ac:dyDescent="0.3"/>
    <row r="2924" s="435" customFormat="1" x14ac:dyDescent="0.3"/>
    <row r="2925" s="435" customFormat="1" x14ac:dyDescent="0.3"/>
    <row r="2926" s="435" customFormat="1" x14ac:dyDescent="0.3"/>
    <row r="2927" s="435" customFormat="1" x14ac:dyDescent="0.3"/>
    <row r="2928" s="435" customFormat="1" x14ac:dyDescent="0.3"/>
    <row r="2929" s="435" customFormat="1" x14ac:dyDescent="0.3"/>
    <row r="2930" s="435" customFormat="1" x14ac:dyDescent="0.3"/>
    <row r="2931" s="435" customFormat="1" x14ac:dyDescent="0.3"/>
    <row r="2932" s="435" customFormat="1" x14ac:dyDescent="0.3"/>
    <row r="2933" s="435" customFormat="1" x14ac:dyDescent="0.3"/>
    <row r="2934" s="435" customFormat="1" x14ac:dyDescent="0.3"/>
    <row r="2935" s="435" customFormat="1" x14ac:dyDescent="0.3"/>
    <row r="2936" s="435" customFormat="1" x14ac:dyDescent="0.3"/>
    <row r="2937" s="435" customFormat="1" x14ac:dyDescent="0.3"/>
    <row r="2938" s="435" customFormat="1" x14ac:dyDescent="0.3"/>
    <row r="2939" s="435" customFormat="1" x14ac:dyDescent="0.3"/>
    <row r="2940" s="435" customFormat="1" x14ac:dyDescent="0.3"/>
    <row r="2941" s="435" customFormat="1" x14ac:dyDescent="0.3"/>
    <row r="2942" s="435" customFormat="1" x14ac:dyDescent="0.3"/>
    <row r="2943" s="435" customFormat="1" x14ac:dyDescent="0.3"/>
    <row r="2944" s="435" customFormat="1" x14ac:dyDescent="0.3"/>
    <row r="2945" s="435" customFormat="1" x14ac:dyDescent="0.3"/>
    <row r="2946" s="435" customFormat="1" x14ac:dyDescent="0.3"/>
    <row r="2947" s="435" customFormat="1" x14ac:dyDescent="0.3"/>
    <row r="2948" s="435" customFormat="1" x14ac:dyDescent="0.3"/>
    <row r="2949" s="435" customFormat="1" x14ac:dyDescent="0.3"/>
    <row r="2950" s="435" customFormat="1" x14ac:dyDescent="0.3"/>
    <row r="2951" s="435" customFormat="1" x14ac:dyDescent="0.3"/>
    <row r="2952" s="435" customFormat="1" x14ac:dyDescent="0.3"/>
    <row r="2953" s="435" customFormat="1" x14ac:dyDescent="0.3"/>
    <row r="2954" s="435" customFormat="1" x14ac:dyDescent="0.3"/>
    <row r="2955" s="435" customFormat="1" x14ac:dyDescent="0.3"/>
    <row r="2956" s="435" customFormat="1" x14ac:dyDescent="0.3"/>
    <row r="2957" s="435" customFormat="1" x14ac:dyDescent="0.3"/>
    <row r="2958" s="435" customFormat="1" x14ac:dyDescent="0.3"/>
    <row r="2959" s="435" customFormat="1" x14ac:dyDescent="0.3"/>
    <row r="2960" s="435" customFormat="1" x14ac:dyDescent="0.3"/>
    <row r="2961" s="435" customFormat="1" x14ac:dyDescent="0.3"/>
    <row r="2962" s="435" customFormat="1" x14ac:dyDescent="0.3"/>
    <row r="2963" s="435" customFormat="1" x14ac:dyDescent="0.3"/>
    <row r="2964" s="435" customFormat="1" x14ac:dyDescent="0.3"/>
    <row r="2965" s="435" customFormat="1" x14ac:dyDescent="0.3"/>
    <row r="2966" s="435" customFormat="1" x14ac:dyDescent="0.3"/>
    <row r="2967" s="435" customFormat="1" x14ac:dyDescent="0.3"/>
    <row r="2968" s="435" customFormat="1" x14ac:dyDescent="0.3"/>
    <row r="2969" s="435" customFormat="1" x14ac:dyDescent="0.3"/>
    <row r="2970" s="435" customFormat="1" x14ac:dyDescent="0.3"/>
    <row r="2971" s="435" customFormat="1" x14ac:dyDescent="0.3"/>
    <row r="2972" s="435" customFormat="1" x14ac:dyDescent="0.3"/>
    <row r="2973" s="435" customFormat="1" x14ac:dyDescent="0.3"/>
    <row r="2974" s="435" customFormat="1" x14ac:dyDescent="0.3"/>
    <row r="2975" s="435" customFormat="1" x14ac:dyDescent="0.3"/>
    <row r="2976" s="435" customFormat="1" x14ac:dyDescent="0.3"/>
    <row r="2977" s="435" customFormat="1" x14ac:dyDescent="0.3"/>
    <row r="2978" s="435" customFormat="1" x14ac:dyDescent="0.3"/>
    <row r="2979" s="435" customFormat="1" x14ac:dyDescent="0.3"/>
    <row r="2980" s="435" customFormat="1" x14ac:dyDescent="0.3"/>
    <row r="2981" s="435" customFormat="1" x14ac:dyDescent="0.3"/>
    <row r="2982" s="435" customFormat="1" x14ac:dyDescent="0.3"/>
    <row r="2983" s="435" customFormat="1" x14ac:dyDescent="0.3"/>
    <row r="2984" s="435" customFormat="1" x14ac:dyDescent="0.3"/>
    <row r="2985" s="435" customFormat="1" x14ac:dyDescent="0.3"/>
    <row r="2986" s="435" customFormat="1" x14ac:dyDescent="0.3"/>
    <row r="2987" s="435" customFormat="1" x14ac:dyDescent="0.3"/>
    <row r="2988" s="435" customFormat="1" x14ac:dyDescent="0.3"/>
    <row r="2989" s="435" customFormat="1" x14ac:dyDescent="0.3"/>
    <row r="2990" s="435" customFormat="1" x14ac:dyDescent="0.3"/>
    <row r="2991" s="435" customFormat="1" x14ac:dyDescent="0.3"/>
    <row r="2992" s="435" customFormat="1" x14ac:dyDescent="0.3"/>
    <row r="2993" s="435" customFormat="1" x14ac:dyDescent="0.3"/>
    <row r="2994" s="435" customFormat="1" x14ac:dyDescent="0.3"/>
    <row r="2995" s="435" customFormat="1" x14ac:dyDescent="0.3"/>
    <row r="2996" s="435" customFormat="1" x14ac:dyDescent="0.3"/>
    <row r="2997" s="435" customFormat="1" x14ac:dyDescent="0.3"/>
    <row r="2998" s="435" customFormat="1" x14ac:dyDescent="0.3"/>
    <row r="2999" s="435" customFormat="1" x14ac:dyDescent="0.3"/>
    <row r="3000" s="435" customFormat="1" x14ac:dyDescent="0.3"/>
    <row r="3001" s="435" customFormat="1" x14ac:dyDescent="0.3"/>
    <row r="3002" s="435" customFormat="1" x14ac:dyDescent="0.3"/>
    <row r="3003" s="435" customFormat="1" x14ac:dyDescent="0.3"/>
    <row r="3004" s="435" customFormat="1" x14ac:dyDescent="0.3"/>
    <row r="3005" s="435" customFormat="1" x14ac:dyDescent="0.3"/>
    <row r="3006" s="435" customFormat="1" x14ac:dyDescent="0.3"/>
    <row r="3007" s="435" customFormat="1" x14ac:dyDescent="0.3"/>
    <row r="3008" s="435" customFormat="1" x14ac:dyDescent="0.3"/>
    <row r="3009" s="435" customFormat="1" x14ac:dyDescent="0.3"/>
    <row r="3010" s="435" customFormat="1" x14ac:dyDescent="0.3"/>
    <row r="3011" s="435" customFormat="1" x14ac:dyDescent="0.3"/>
    <row r="3012" s="435" customFormat="1" x14ac:dyDescent="0.3"/>
    <row r="3013" s="435" customFormat="1" x14ac:dyDescent="0.3"/>
    <row r="3014" s="435" customFormat="1" x14ac:dyDescent="0.3"/>
    <row r="3015" s="435" customFormat="1" x14ac:dyDescent="0.3"/>
    <row r="3016" s="435" customFormat="1" x14ac:dyDescent="0.3"/>
    <row r="3017" s="435" customFormat="1" x14ac:dyDescent="0.3"/>
    <row r="3018" s="435" customFormat="1" x14ac:dyDescent="0.3"/>
    <row r="3019" s="435" customFormat="1" x14ac:dyDescent="0.3"/>
    <row r="3020" s="435" customFormat="1" x14ac:dyDescent="0.3"/>
    <row r="3021" s="435" customFormat="1" x14ac:dyDescent="0.3"/>
    <row r="3022" s="435" customFormat="1" x14ac:dyDescent="0.3"/>
    <row r="3023" s="435" customFormat="1" x14ac:dyDescent="0.3"/>
    <row r="3024" s="435" customFormat="1" x14ac:dyDescent="0.3"/>
    <row r="3025" s="435" customFormat="1" x14ac:dyDescent="0.3"/>
    <row r="3026" s="435" customFormat="1" x14ac:dyDescent="0.3"/>
    <row r="3027" s="435" customFormat="1" x14ac:dyDescent="0.3"/>
    <row r="3028" s="435" customFormat="1" x14ac:dyDescent="0.3"/>
    <row r="3029" s="435" customFormat="1" x14ac:dyDescent="0.3"/>
    <row r="3030" s="435" customFormat="1" x14ac:dyDescent="0.3"/>
    <row r="3031" s="435" customFormat="1" x14ac:dyDescent="0.3"/>
    <row r="3032" s="435" customFormat="1" x14ac:dyDescent="0.3"/>
    <row r="3033" s="435" customFormat="1" x14ac:dyDescent="0.3"/>
    <row r="3034" s="435" customFormat="1" x14ac:dyDescent="0.3"/>
    <row r="3035" s="435" customFormat="1" x14ac:dyDescent="0.3"/>
    <row r="3036" s="435" customFormat="1" x14ac:dyDescent="0.3"/>
    <row r="3037" s="435" customFormat="1" x14ac:dyDescent="0.3"/>
    <row r="3038" s="435" customFormat="1" x14ac:dyDescent="0.3"/>
    <row r="3039" s="435" customFormat="1" x14ac:dyDescent="0.3"/>
    <row r="3040" s="435" customFormat="1" x14ac:dyDescent="0.3"/>
    <row r="3041" s="435" customFormat="1" x14ac:dyDescent="0.3"/>
    <row r="3042" s="435" customFormat="1" x14ac:dyDescent="0.3"/>
    <row r="3043" s="435" customFormat="1" x14ac:dyDescent="0.3"/>
    <row r="3044" s="435" customFormat="1" x14ac:dyDescent="0.3"/>
    <row r="3045" s="435" customFormat="1" x14ac:dyDescent="0.3"/>
    <row r="3046" s="435" customFormat="1" x14ac:dyDescent="0.3"/>
    <row r="3047" s="435" customFormat="1" x14ac:dyDescent="0.3"/>
    <row r="3048" s="435" customFormat="1" x14ac:dyDescent="0.3"/>
    <row r="3049" s="435" customFormat="1" x14ac:dyDescent="0.3"/>
    <row r="3050" s="435" customFormat="1" x14ac:dyDescent="0.3"/>
    <row r="3051" s="435" customFormat="1" x14ac:dyDescent="0.3"/>
    <row r="3052" s="435" customFormat="1" x14ac:dyDescent="0.3"/>
    <row r="3053" s="435" customFormat="1" x14ac:dyDescent="0.3"/>
    <row r="3054" s="435" customFormat="1" x14ac:dyDescent="0.3"/>
    <row r="3055" s="435" customFormat="1" x14ac:dyDescent="0.3"/>
    <row r="3056" s="435" customFormat="1" x14ac:dyDescent="0.3"/>
    <row r="3057" s="435" customFormat="1" x14ac:dyDescent="0.3"/>
    <row r="3058" s="435" customFormat="1" x14ac:dyDescent="0.3"/>
    <row r="3059" s="435" customFormat="1" x14ac:dyDescent="0.3"/>
    <row r="3060" s="435" customFormat="1" x14ac:dyDescent="0.3"/>
    <row r="3061" s="435" customFormat="1" x14ac:dyDescent="0.3"/>
    <row r="3062" s="435" customFormat="1" x14ac:dyDescent="0.3"/>
    <row r="3063" s="435" customFormat="1" x14ac:dyDescent="0.3"/>
    <row r="3064" s="435" customFormat="1" x14ac:dyDescent="0.3"/>
    <row r="3065" s="435" customFormat="1" x14ac:dyDescent="0.3"/>
    <row r="3066" s="435" customFormat="1" x14ac:dyDescent="0.3"/>
    <row r="3067" s="435" customFormat="1" x14ac:dyDescent="0.3"/>
    <row r="3068" s="435" customFormat="1" x14ac:dyDescent="0.3"/>
    <row r="3069" s="435" customFormat="1" x14ac:dyDescent="0.3"/>
    <row r="3070" s="435" customFormat="1" x14ac:dyDescent="0.3"/>
    <row r="3071" s="435" customFormat="1" x14ac:dyDescent="0.3"/>
    <row r="3072" s="435" customFormat="1" x14ac:dyDescent="0.3"/>
    <row r="3073" s="435" customFormat="1" x14ac:dyDescent="0.3"/>
    <row r="3074" s="435" customFormat="1" x14ac:dyDescent="0.3"/>
    <row r="3075" s="435" customFormat="1" x14ac:dyDescent="0.3"/>
    <row r="3076" s="435" customFormat="1" x14ac:dyDescent="0.3"/>
    <row r="3077" s="435" customFormat="1" x14ac:dyDescent="0.3"/>
    <row r="3078" s="435" customFormat="1" x14ac:dyDescent="0.3"/>
    <row r="3079" s="435" customFormat="1" x14ac:dyDescent="0.3"/>
    <row r="3080" s="435" customFormat="1" x14ac:dyDescent="0.3"/>
    <row r="3081" s="435" customFormat="1" x14ac:dyDescent="0.3"/>
    <row r="3082" s="435" customFormat="1" x14ac:dyDescent="0.3"/>
    <row r="3083" s="435" customFormat="1" x14ac:dyDescent="0.3"/>
    <row r="3084" s="435" customFormat="1" x14ac:dyDescent="0.3"/>
    <row r="3085" s="435" customFormat="1" x14ac:dyDescent="0.3"/>
    <row r="3086" s="435" customFormat="1" x14ac:dyDescent="0.3"/>
    <row r="3087" s="435" customFormat="1" x14ac:dyDescent="0.3"/>
    <row r="3088" s="435" customFormat="1" x14ac:dyDescent="0.3"/>
    <row r="3089" s="435" customFormat="1" x14ac:dyDescent="0.3"/>
    <row r="3090" s="435" customFormat="1" x14ac:dyDescent="0.3"/>
    <row r="3091" s="435" customFormat="1" x14ac:dyDescent="0.3"/>
    <row r="3092" s="435" customFormat="1" x14ac:dyDescent="0.3"/>
    <row r="3093" s="435" customFormat="1" x14ac:dyDescent="0.3"/>
    <row r="3094" s="435" customFormat="1" x14ac:dyDescent="0.3"/>
    <row r="3095" s="435" customFormat="1" x14ac:dyDescent="0.3"/>
    <row r="3096" s="435" customFormat="1" x14ac:dyDescent="0.3"/>
    <row r="3097" s="435" customFormat="1" x14ac:dyDescent="0.3"/>
    <row r="3098" s="435" customFormat="1" x14ac:dyDescent="0.3"/>
    <row r="3099" s="435" customFormat="1" x14ac:dyDescent="0.3"/>
    <row r="3100" s="435" customFormat="1" x14ac:dyDescent="0.3"/>
    <row r="3101" s="435" customFormat="1" x14ac:dyDescent="0.3"/>
    <row r="3102" s="435" customFormat="1" x14ac:dyDescent="0.3"/>
    <row r="3103" s="435" customFormat="1" x14ac:dyDescent="0.3"/>
    <row r="3104" s="435" customFormat="1" x14ac:dyDescent="0.3"/>
    <row r="3105" s="435" customFormat="1" x14ac:dyDescent="0.3"/>
    <row r="3106" s="435" customFormat="1" x14ac:dyDescent="0.3"/>
    <row r="3107" s="435" customFormat="1" x14ac:dyDescent="0.3"/>
    <row r="3108" s="435" customFormat="1" x14ac:dyDescent="0.3"/>
    <row r="3109" s="435" customFormat="1" x14ac:dyDescent="0.3"/>
    <row r="3110" s="435" customFormat="1" x14ac:dyDescent="0.3"/>
    <row r="3111" s="435" customFormat="1" x14ac:dyDescent="0.3"/>
    <row r="3112" s="435" customFormat="1" x14ac:dyDescent="0.3"/>
    <row r="3113" s="435" customFormat="1" x14ac:dyDescent="0.3"/>
    <row r="3114" s="435" customFormat="1" x14ac:dyDescent="0.3"/>
    <row r="3115" s="435" customFormat="1" x14ac:dyDescent="0.3"/>
    <row r="3116" s="435" customFormat="1" x14ac:dyDescent="0.3"/>
    <row r="3117" s="435" customFormat="1" x14ac:dyDescent="0.3"/>
    <row r="3118" s="435" customFormat="1" x14ac:dyDescent="0.3"/>
    <row r="3119" s="435" customFormat="1" x14ac:dyDescent="0.3"/>
    <row r="3120" s="435" customFormat="1" x14ac:dyDescent="0.3"/>
    <row r="3121" s="435" customFormat="1" x14ac:dyDescent="0.3"/>
    <row r="3122" s="435" customFormat="1" x14ac:dyDescent="0.3"/>
    <row r="3123" s="435" customFormat="1" x14ac:dyDescent="0.3"/>
    <row r="3124" s="435" customFormat="1" x14ac:dyDescent="0.3"/>
    <row r="3125" s="435" customFormat="1" x14ac:dyDescent="0.3"/>
    <row r="3126" s="435" customFormat="1" x14ac:dyDescent="0.3"/>
    <row r="3127" s="435" customFormat="1" x14ac:dyDescent="0.3"/>
    <row r="3128" s="435" customFormat="1" x14ac:dyDescent="0.3"/>
    <row r="3129" s="435" customFormat="1" x14ac:dyDescent="0.3"/>
    <row r="3130" s="435" customFormat="1" x14ac:dyDescent="0.3"/>
    <row r="3131" s="435" customFormat="1" x14ac:dyDescent="0.3"/>
    <row r="3132" s="435" customFormat="1" x14ac:dyDescent="0.3"/>
    <row r="3133" s="435" customFormat="1" x14ac:dyDescent="0.3"/>
    <row r="3134" s="435" customFormat="1" x14ac:dyDescent="0.3"/>
    <row r="3135" s="435" customFormat="1" x14ac:dyDescent="0.3"/>
    <row r="3136" s="435" customFormat="1" x14ac:dyDescent="0.3"/>
    <row r="3137" s="435" customFormat="1" x14ac:dyDescent="0.3"/>
    <row r="3138" s="435" customFormat="1" x14ac:dyDescent="0.3"/>
    <row r="3139" s="435" customFormat="1" x14ac:dyDescent="0.3"/>
    <row r="3140" s="435" customFormat="1" x14ac:dyDescent="0.3"/>
    <row r="3141" s="435" customFormat="1" x14ac:dyDescent="0.3"/>
    <row r="3142" s="435" customFormat="1" x14ac:dyDescent="0.3"/>
    <row r="3143" s="435" customFormat="1" x14ac:dyDescent="0.3"/>
    <row r="3144" s="435" customFormat="1" x14ac:dyDescent="0.3"/>
    <row r="3145" s="435" customFormat="1" x14ac:dyDescent="0.3"/>
    <row r="3146" s="435" customFormat="1" x14ac:dyDescent="0.3"/>
    <row r="3147" s="435" customFormat="1" x14ac:dyDescent="0.3"/>
    <row r="3148" s="435" customFormat="1" x14ac:dyDescent="0.3"/>
    <row r="3149" s="435" customFormat="1" x14ac:dyDescent="0.3"/>
    <row r="3150" s="435" customFormat="1" x14ac:dyDescent="0.3"/>
    <row r="3151" s="435" customFormat="1" x14ac:dyDescent="0.3"/>
    <row r="3152" s="435" customFormat="1" x14ac:dyDescent="0.3"/>
    <row r="3153" s="435" customFormat="1" x14ac:dyDescent="0.3"/>
    <row r="3154" s="435" customFormat="1" x14ac:dyDescent="0.3"/>
    <row r="3155" s="435" customFormat="1" x14ac:dyDescent="0.3"/>
    <row r="3156" s="435" customFormat="1" x14ac:dyDescent="0.3"/>
    <row r="3157" s="435" customFormat="1" x14ac:dyDescent="0.3"/>
    <row r="3158" s="435" customFormat="1" x14ac:dyDescent="0.3"/>
    <row r="3159" s="435" customFormat="1" x14ac:dyDescent="0.3"/>
    <row r="3160" s="435" customFormat="1" x14ac:dyDescent="0.3"/>
    <row r="3161" s="435" customFormat="1" x14ac:dyDescent="0.3"/>
    <row r="3162" s="435" customFormat="1" x14ac:dyDescent="0.3"/>
    <row r="3163" s="435" customFormat="1" x14ac:dyDescent="0.3"/>
    <row r="3164" s="435" customFormat="1" x14ac:dyDescent="0.3"/>
    <row r="3165" s="435" customFormat="1" x14ac:dyDescent="0.3"/>
    <row r="3166" s="435" customFormat="1" x14ac:dyDescent="0.3"/>
    <row r="3167" s="435" customFormat="1" x14ac:dyDescent="0.3"/>
    <row r="3168" s="435" customFormat="1" x14ac:dyDescent="0.3"/>
    <row r="3169" s="435" customFormat="1" x14ac:dyDescent="0.3"/>
    <row r="3170" s="435" customFormat="1" x14ac:dyDescent="0.3"/>
    <row r="3171" s="435" customFormat="1" x14ac:dyDescent="0.3"/>
    <row r="3172" s="435" customFormat="1" x14ac:dyDescent="0.3"/>
    <row r="3173" s="435" customFormat="1" x14ac:dyDescent="0.3"/>
    <row r="3174" s="435" customFormat="1" x14ac:dyDescent="0.3"/>
    <row r="3175" s="435" customFormat="1" x14ac:dyDescent="0.3"/>
    <row r="3176" s="435" customFormat="1" x14ac:dyDescent="0.3"/>
    <row r="3177" s="435" customFormat="1" x14ac:dyDescent="0.3"/>
    <row r="3178" s="435" customFormat="1" x14ac:dyDescent="0.3"/>
    <row r="3179" s="435" customFormat="1" x14ac:dyDescent="0.3"/>
    <row r="3180" s="435" customFormat="1" x14ac:dyDescent="0.3"/>
    <row r="3181" s="435" customFormat="1" x14ac:dyDescent="0.3"/>
    <row r="3182" s="435" customFormat="1" x14ac:dyDescent="0.3"/>
    <row r="3183" s="435" customFormat="1" x14ac:dyDescent="0.3"/>
    <row r="3184" s="435" customFormat="1" x14ac:dyDescent="0.3"/>
    <row r="3185" s="435" customFormat="1" x14ac:dyDescent="0.3"/>
    <row r="3186" s="435" customFormat="1" x14ac:dyDescent="0.3"/>
    <row r="3187" s="435" customFormat="1" x14ac:dyDescent="0.3"/>
    <row r="3188" s="435" customFormat="1" x14ac:dyDescent="0.3"/>
    <row r="3189" s="435" customFormat="1" x14ac:dyDescent="0.3"/>
    <row r="3190" s="435" customFormat="1" x14ac:dyDescent="0.3"/>
    <row r="3191" s="435" customFormat="1" x14ac:dyDescent="0.3"/>
    <row r="3192" s="435" customFormat="1" x14ac:dyDescent="0.3"/>
    <row r="3193" s="435" customFormat="1" x14ac:dyDescent="0.3"/>
    <row r="3194" s="435" customFormat="1" x14ac:dyDescent="0.3"/>
    <row r="3195" s="435" customFormat="1" x14ac:dyDescent="0.3"/>
    <row r="3196" s="435" customFormat="1" x14ac:dyDescent="0.3"/>
    <row r="3197" s="435" customFormat="1" x14ac:dyDescent="0.3"/>
    <row r="3198" s="435" customFormat="1" x14ac:dyDescent="0.3"/>
    <row r="3199" s="435" customFormat="1" x14ac:dyDescent="0.3"/>
    <row r="3200" s="435" customFormat="1" x14ac:dyDescent="0.3"/>
    <row r="3201" s="435" customFormat="1" x14ac:dyDescent="0.3"/>
    <row r="3202" s="435" customFormat="1" x14ac:dyDescent="0.3"/>
    <row r="3203" s="435" customFormat="1" x14ac:dyDescent="0.3"/>
    <row r="3204" s="435" customFormat="1" x14ac:dyDescent="0.3"/>
    <row r="3205" s="435" customFormat="1" x14ac:dyDescent="0.3"/>
    <row r="3206" s="435" customFormat="1" x14ac:dyDescent="0.3"/>
    <row r="3207" s="435" customFormat="1" x14ac:dyDescent="0.3"/>
    <row r="3208" s="435" customFormat="1" x14ac:dyDescent="0.3"/>
    <row r="3209" s="435" customFormat="1" x14ac:dyDescent="0.3"/>
    <row r="3210" s="435" customFormat="1" x14ac:dyDescent="0.3"/>
    <row r="3211" s="435" customFormat="1" x14ac:dyDescent="0.3"/>
    <row r="3212" s="435" customFormat="1" x14ac:dyDescent="0.3"/>
    <row r="3213" s="435" customFormat="1" x14ac:dyDescent="0.3"/>
    <row r="3214" s="435" customFormat="1" x14ac:dyDescent="0.3"/>
    <row r="3215" s="435" customFormat="1" x14ac:dyDescent="0.3"/>
    <row r="3216" s="435" customFormat="1" x14ac:dyDescent="0.3"/>
    <row r="3217" s="435" customFormat="1" x14ac:dyDescent="0.3"/>
    <row r="3218" s="435" customFormat="1" x14ac:dyDescent="0.3"/>
    <row r="3219" s="435" customFormat="1" x14ac:dyDescent="0.3"/>
    <row r="3220" s="435" customFormat="1" x14ac:dyDescent="0.3"/>
    <row r="3221" s="435" customFormat="1" x14ac:dyDescent="0.3"/>
    <row r="3222" s="435" customFormat="1" x14ac:dyDescent="0.3"/>
    <row r="3223" s="435" customFormat="1" x14ac:dyDescent="0.3"/>
    <row r="3224" s="435" customFormat="1" x14ac:dyDescent="0.3"/>
    <row r="3225" s="435" customFormat="1" x14ac:dyDescent="0.3"/>
    <row r="3226" s="435" customFormat="1" x14ac:dyDescent="0.3"/>
    <row r="3227" s="435" customFormat="1" x14ac:dyDescent="0.3"/>
    <row r="3228" s="435" customFormat="1" x14ac:dyDescent="0.3"/>
    <row r="3229" s="435" customFormat="1" x14ac:dyDescent="0.3"/>
    <row r="3230" s="435" customFormat="1" x14ac:dyDescent="0.3"/>
    <row r="3231" s="435" customFormat="1" x14ac:dyDescent="0.3"/>
    <row r="3232" s="435" customFormat="1" x14ac:dyDescent="0.3"/>
    <row r="3233" s="435" customFormat="1" x14ac:dyDescent="0.3"/>
    <row r="3234" s="435" customFormat="1" x14ac:dyDescent="0.3"/>
    <row r="3235" s="435" customFormat="1" x14ac:dyDescent="0.3"/>
    <row r="3236" s="435" customFormat="1" x14ac:dyDescent="0.3"/>
    <row r="3237" s="435" customFormat="1" x14ac:dyDescent="0.3"/>
    <row r="3238" s="435" customFormat="1" x14ac:dyDescent="0.3"/>
    <row r="3239" s="435" customFormat="1" x14ac:dyDescent="0.3"/>
    <row r="3240" s="435" customFormat="1" x14ac:dyDescent="0.3"/>
    <row r="3241" s="435" customFormat="1" x14ac:dyDescent="0.3"/>
    <row r="3242" s="435" customFormat="1" x14ac:dyDescent="0.3"/>
    <row r="3243" s="435" customFormat="1" x14ac:dyDescent="0.3"/>
    <row r="3244" s="435" customFormat="1" x14ac:dyDescent="0.3"/>
    <row r="3245" s="435" customFormat="1" x14ac:dyDescent="0.3"/>
    <row r="3246" s="435" customFormat="1" x14ac:dyDescent="0.3"/>
    <row r="3247" s="435" customFormat="1" x14ac:dyDescent="0.3"/>
    <row r="3248" s="435" customFormat="1" x14ac:dyDescent="0.3"/>
    <row r="3249" s="435" customFormat="1" x14ac:dyDescent="0.3"/>
    <row r="3250" s="435" customFormat="1" x14ac:dyDescent="0.3"/>
    <row r="3251" s="435" customFormat="1" x14ac:dyDescent="0.3"/>
    <row r="3252" s="435" customFormat="1" x14ac:dyDescent="0.3"/>
    <row r="3253" s="435" customFormat="1" x14ac:dyDescent="0.3"/>
    <row r="3254" s="435" customFormat="1" x14ac:dyDescent="0.3"/>
    <row r="3255" s="435" customFormat="1" x14ac:dyDescent="0.3"/>
    <row r="3256" s="435" customFormat="1" x14ac:dyDescent="0.3"/>
    <row r="3257" s="435" customFormat="1" x14ac:dyDescent="0.3"/>
    <row r="3258" s="435" customFormat="1" x14ac:dyDescent="0.3"/>
    <row r="3259" s="435" customFormat="1" x14ac:dyDescent="0.3"/>
    <row r="3260" s="435" customFormat="1" x14ac:dyDescent="0.3"/>
    <row r="3261" s="435" customFormat="1" x14ac:dyDescent="0.3"/>
    <row r="3262" s="435" customFormat="1" x14ac:dyDescent="0.3"/>
    <row r="3263" s="435" customFormat="1" x14ac:dyDescent="0.3"/>
    <row r="3264" s="435" customFormat="1" x14ac:dyDescent="0.3"/>
    <row r="3265" s="435" customFormat="1" x14ac:dyDescent="0.3"/>
    <row r="3266" s="435" customFormat="1" x14ac:dyDescent="0.3"/>
    <row r="3267" s="435" customFormat="1" x14ac:dyDescent="0.3"/>
    <row r="3268" s="435" customFormat="1" x14ac:dyDescent="0.3"/>
    <row r="3269" s="435" customFormat="1" x14ac:dyDescent="0.3"/>
    <row r="3270" s="435" customFormat="1" x14ac:dyDescent="0.3"/>
    <row r="3271" s="435" customFormat="1" x14ac:dyDescent="0.3"/>
    <row r="3272" s="435" customFormat="1" x14ac:dyDescent="0.3"/>
    <row r="3273" s="435" customFormat="1" x14ac:dyDescent="0.3"/>
    <row r="3274" s="435" customFormat="1" x14ac:dyDescent="0.3"/>
    <row r="3275" s="435" customFormat="1" x14ac:dyDescent="0.3"/>
    <row r="3276" s="435" customFormat="1" x14ac:dyDescent="0.3"/>
    <row r="3277" s="435" customFormat="1" x14ac:dyDescent="0.3"/>
    <row r="3278" s="435" customFormat="1" x14ac:dyDescent="0.3"/>
    <row r="3279" s="435" customFormat="1" x14ac:dyDescent="0.3"/>
    <row r="3280" s="435" customFormat="1" x14ac:dyDescent="0.3"/>
    <row r="3281" s="435" customFormat="1" x14ac:dyDescent="0.3"/>
    <row r="3282" s="435" customFormat="1" x14ac:dyDescent="0.3"/>
    <row r="3283" s="435" customFormat="1" x14ac:dyDescent="0.3"/>
    <row r="3284" s="435" customFormat="1" x14ac:dyDescent="0.3"/>
    <row r="3285" s="435" customFormat="1" x14ac:dyDescent="0.3"/>
    <row r="3286" s="435" customFormat="1" x14ac:dyDescent="0.3"/>
    <row r="3287" s="435" customFormat="1" x14ac:dyDescent="0.3"/>
    <row r="3288" s="435" customFormat="1" x14ac:dyDescent="0.3"/>
    <row r="3289" s="435" customFormat="1" x14ac:dyDescent="0.3"/>
    <row r="3290" s="435" customFormat="1" x14ac:dyDescent="0.3"/>
    <row r="3291" s="435" customFormat="1" x14ac:dyDescent="0.3"/>
    <row r="3292" s="435" customFormat="1" x14ac:dyDescent="0.3"/>
    <row r="3293" s="435" customFormat="1" x14ac:dyDescent="0.3"/>
    <row r="3294" s="435" customFormat="1" x14ac:dyDescent="0.3"/>
    <row r="3295" s="435" customFormat="1" x14ac:dyDescent="0.3"/>
    <row r="3296" s="435" customFormat="1" x14ac:dyDescent="0.3"/>
    <row r="3297" s="435" customFormat="1" x14ac:dyDescent="0.3"/>
    <row r="3298" s="435" customFormat="1" x14ac:dyDescent="0.3"/>
    <row r="3299" s="435" customFormat="1" x14ac:dyDescent="0.3"/>
    <row r="3300" s="435" customFormat="1" x14ac:dyDescent="0.3"/>
    <row r="3301" s="435" customFormat="1" x14ac:dyDescent="0.3"/>
    <row r="3302" s="435" customFormat="1" x14ac:dyDescent="0.3"/>
    <row r="3303" s="435" customFormat="1" x14ac:dyDescent="0.3"/>
    <row r="3304" s="435" customFormat="1" x14ac:dyDescent="0.3"/>
    <row r="3305" s="435" customFormat="1" x14ac:dyDescent="0.3"/>
    <row r="3306" s="435" customFormat="1" x14ac:dyDescent="0.3"/>
    <row r="3307" s="435" customFormat="1" x14ac:dyDescent="0.3"/>
    <row r="3308" s="435" customFormat="1" x14ac:dyDescent="0.3"/>
    <row r="3309" s="435" customFormat="1" x14ac:dyDescent="0.3"/>
    <row r="3310" s="435" customFormat="1" x14ac:dyDescent="0.3"/>
    <row r="3311" s="435" customFormat="1" x14ac:dyDescent="0.3"/>
    <row r="3312" s="435" customFormat="1" x14ac:dyDescent="0.3"/>
    <row r="3313" s="435" customFormat="1" x14ac:dyDescent="0.3"/>
    <row r="3314" s="435" customFormat="1" x14ac:dyDescent="0.3"/>
    <row r="3315" s="435" customFormat="1" x14ac:dyDescent="0.3"/>
    <row r="3316" s="435" customFormat="1" x14ac:dyDescent="0.3"/>
    <row r="3317" s="435" customFormat="1" x14ac:dyDescent="0.3"/>
    <row r="3318" s="435" customFormat="1" x14ac:dyDescent="0.3"/>
    <row r="3319" s="435" customFormat="1" x14ac:dyDescent="0.3"/>
    <row r="3320" s="435" customFormat="1" x14ac:dyDescent="0.3"/>
    <row r="3321" s="435" customFormat="1" x14ac:dyDescent="0.3"/>
    <row r="3322" s="435" customFormat="1" x14ac:dyDescent="0.3"/>
    <row r="3323" s="435" customFormat="1" x14ac:dyDescent="0.3"/>
    <row r="3324" s="435" customFormat="1" x14ac:dyDescent="0.3"/>
    <row r="3325" s="435" customFormat="1" x14ac:dyDescent="0.3"/>
    <row r="3326" s="435" customFormat="1" x14ac:dyDescent="0.3"/>
    <row r="3327" s="435" customFormat="1" x14ac:dyDescent="0.3"/>
    <row r="3328" s="435" customFormat="1" x14ac:dyDescent="0.3"/>
    <row r="3329" s="435" customFormat="1" x14ac:dyDescent="0.3"/>
    <row r="3330" s="435" customFormat="1" x14ac:dyDescent="0.3"/>
    <row r="3331" s="435" customFormat="1" x14ac:dyDescent="0.3"/>
    <row r="3332" s="435" customFormat="1" x14ac:dyDescent="0.3"/>
    <row r="3333" s="435" customFormat="1" x14ac:dyDescent="0.3"/>
    <row r="3334" s="435" customFormat="1" x14ac:dyDescent="0.3"/>
    <row r="3335" s="435" customFormat="1" x14ac:dyDescent="0.3"/>
    <row r="3336" s="435" customFormat="1" x14ac:dyDescent="0.3"/>
    <row r="3337" s="435" customFormat="1" x14ac:dyDescent="0.3"/>
    <row r="3338" s="435" customFormat="1" x14ac:dyDescent="0.3"/>
    <row r="3339" s="435" customFormat="1" x14ac:dyDescent="0.3"/>
    <row r="3340" s="435" customFormat="1" x14ac:dyDescent="0.3"/>
    <row r="3341" s="435" customFormat="1" x14ac:dyDescent="0.3"/>
    <row r="3342" s="435" customFormat="1" x14ac:dyDescent="0.3"/>
    <row r="3343" s="435" customFormat="1" x14ac:dyDescent="0.3"/>
    <row r="3344" s="435" customFormat="1" x14ac:dyDescent="0.3"/>
    <row r="3345" s="435" customFormat="1" x14ac:dyDescent="0.3"/>
    <row r="3346" s="435" customFormat="1" x14ac:dyDescent="0.3"/>
    <row r="3347" s="435" customFormat="1" x14ac:dyDescent="0.3"/>
    <row r="3348" s="435" customFormat="1" x14ac:dyDescent="0.3"/>
    <row r="3349" s="435" customFormat="1" x14ac:dyDescent="0.3"/>
    <row r="3350" s="435" customFormat="1" x14ac:dyDescent="0.3"/>
    <row r="3351" s="435" customFormat="1" x14ac:dyDescent="0.3"/>
    <row r="3352" s="435" customFormat="1" x14ac:dyDescent="0.3"/>
    <row r="3353" s="435" customFormat="1" x14ac:dyDescent="0.3"/>
    <row r="3354" s="435" customFormat="1" x14ac:dyDescent="0.3"/>
    <row r="3355" s="435" customFormat="1" x14ac:dyDescent="0.3"/>
    <row r="3356" s="435" customFormat="1" x14ac:dyDescent="0.3"/>
    <row r="3357" s="435" customFormat="1" x14ac:dyDescent="0.3"/>
    <row r="3358" s="435" customFormat="1" x14ac:dyDescent="0.3"/>
    <row r="3359" s="435" customFormat="1" x14ac:dyDescent="0.3"/>
    <row r="3360" s="435" customFormat="1" x14ac:dyDescent="0.3"/>
    <row r="3361" s="435" customFormat="1" x14ac:dyDescent="0.3"/>
    <row r="3362" s="435" customFormat="1" x14ac:dyDescent="0.3"/>
    <row r="3363" s="435" customFormat="1" x14ac:dyDescent="0.3"/>
    <row r="3364" s="435" customFormat="1" x14ac:dyDescent="0.3"/>
    <row r="3365" s="435" customFormat="1" x14ac:dyDescent="0.3"/>
    <row r="3366" s="435" customFormat="1" x14ac:dyDescent="0.3"/>
    <row r="3367" s="435" customFormat="1" x14ac:dyDescent="0.3"/>
    <row r="3368" s="435" customFormat="1" x14ac:dyDescent="0.3"/>
    <row r="3369" s="435" customFormat="1" x14ac:dyDescent="0.3"/>
    <row r="3370" s="435" customFormat="1" x14ac:dyDescent="0.3"/>
    <row r="3371" s="435" customFormat="1" x14ac:dyDescent="0.3"/>
    <row r="3372" s="435" customFormat="1" x14ac:dyDescent="0.3"/>
    <row r="3373" s="435" customFormat="1" x14ac:dyDescent="0.3"/>
    <row r="3374" s="435" customFormat="1" x14ac:dyDescent="0.3"/>
    <row r="3375" s="435" customFormat="1" x14ac:dyDescent="0.3"/>
    <row r="3376" s="435" customFormat="1" x14ac:dyDescent="0.3"/>
    <row r="3377" s="435" customFormat="1" x14ac:dyDescent="0.3"/>
    <row r="3378" s="435" customFormat="1" x14ac:dyDescent="0.3"/>
    <row r="3379" s="435" customFormat="1" x14ac:dyDescent="0.3"/>
    <row r="3380" s="435" customFormat="1" x14ac:dyDescent="0.3"/>
    <row r="3381" s="435" customFormat="1" x14ac:dyDescent="0.3"/>
    <row r="3382" s="435" customFormat="1" x14ac:dyDescent="0.3"/>
    <row r="3383" s="435" customFormat="1" x14ac:dyDescent="0.3"/>
    <row r="3384" s="435" customFormat="1" x14ac:dyDescent="0.3"/>
    <row r="3385" s="435" customFormat="1" x14ac:dyDescent="0.3"/>
    <row r="3386" s="435" customFormat="1" x14ac:dyDescent="0.3"/>
    <row r="3387" s="435" customFormat="1" x14ac:dyDescent="0.3"/>
    <row r="3388" s="435" customFormat="1" x14ac:dyDescent="0.3"/>
    <row r="3389" s="435" customFormat="1" x14ac:dyDescent="0.3"/>
    <row r="3390" s="435" customFormat="1" x14ac:dyDescent="0.3"/>
    <row r="3391" s="435" customFormat="1" x14ac:dyDescent="0.3"/>
    <row r="3392" s="435" customFormat="1" x14ac:dyDescent="0.3"/>
    <row r="3393" s="435" customFormat="1" x14ac:dyDescent="0.3"/>
    <row r="3394" s="435" customFormat="1" x14ac:dyDescent="0.3"/>
    <row r="3395" s="435" customFormat="1" x14ac:dyDescent="0.3"/>
    <row r="3396" s="435" customFormat="1" x14ac:dyDescent="0.3"/>
    <row r="3397" s="435" customFormat="1" x14ac:dyDescent="0.3"/>
    <row r="3398" s="435" customFormat="1" x14ac:dyDescent="0.3"/>
    <row r="3399" s="435" customFormat="1" x14ac:dyDescent="0.3"/>
    <row r="3400" s="435" customFormat="1" x14ac:dyDescent="0.3"/>
    <row r="3401" s="435" customFormat="1" x14ac:dyDescent="0.3"/>
    <row r="3402" s="435" customFormat="1" x14ac:dyDescent="0.3"/>
    <row r="3403" s="435" customFormat="1" x14ac:dyDescent="0.3"/>
    <row r="3404" s="435" customFormat="1" x14ac:dyDescent="0.3"/>
    <row r="3405" s="435" customFormat="1" x14ac:dyDescent="0.3"/>
    <row r="3406" s="435" customFormat="1" x14ac:dyDescent="0.3"/>
    <row r="3407" s="435" customFormat="1" x14ac:dyDescent="0.3"/>
    <row r="3408" s="435" customFormat="1" x14ac:dyDescent="0.3"/>
    <row r="3409" s="435" customFormat="1" x14ac:dyDescent="0.3"/>
    <row r="3410" s="435" customFormat="1" x14ac:dyDescent="0.3"/>
    <row r="3411" s="435" customFormat="1" x14ac:dyDescent="0.3"/>
    <row r="3412" s="435" customFormat="1" x14ac:dyDescent="0.3"/>
    <row r="3413" s="435" customFormat="1" x14ac:dyDescent="0.3"/>
    <row r="3414" s="435" customFormat="1" x14ac:dyDescent="0.3"/>
    <row r="3415" s="435" customFormat="1" x14ac:dyDescent="0.3"/>
    <row r="3416" s="435" customFormat="1" x14ac:dyDescent="0.3"/>
    <row r="3417" s="435" customFormat="1" x14ac:dyDescent="0.3"/>
    <row r="3418" s="435" customFormat="1" x14ac:dyDescent="0.3"/>
    <row r="3419" s="435" customFormat="1" x14ac:dyDescent="0.3"/>
    <row r="3420" s="435" customFormat="1" x14ac:dyDescent="0.3"/>
    <row r="3421" s="435" customFormat="1" x14ac:dyDescent="0.3"/>
    <row r="3422" s="435" customFormat="1" x14ac:dyDescent="0.3"/>
    <row r="3423" s="435" customFormat="1" x14ac:dyDescent="0.3"/>
    <row r="3424" s="435" customFormat="1" x14ac:dyDescent="0.3"/>
    <row r="3425" s="435" customFormat="1" x14ac:dyDescent="0.3"/>
    <row r="3426" s="435" customFormat="1" x14ac:dyDescent="0.3"/>
    <row r="3427" s="435" customFormat="1" x14ac:dyDescent="0.3"/>
    <row r="3428" s="435" customFormat="1" x14ac:dyDescent="0.3"/>
    <row r="3429" s="435" customFormat="1" x14ac:dyDescent="0.3"/>
    <row r="3430" s="435" customFormat="1" x14ac:dyDescent="0.3"/>
    <row r="3431" s="435" customFormat="1" x14ac:dyDescent="0.3"/>
    <row r="3432" s="435" customFormat="1" x14ac:dyDescent="0.3"/>
    <row r="3433" s="435" customFormat="1" x14ac:dyDescent="0.3"/>
    <row r="3434" s="435" customFormat="1" x14ac:dyDescent="0.3"/>
    <row r="3435" s="435" customFormat="1" x14ac:dyDescent="0.3"/>
    <row r="3436" s="435" customFormat="1" x14ac:dyDescent="0.3"/>
    <row r="3437" s="435" customFormat="1" x14ac:dyDescent="0.3"/>
    <row r="3438" s="435" customFormat="1" x14ac:dyDescent="0.3"/>
    <row r="3439" s="435" customFormat="1" x14ac:dyDescent="0.3"/>
    <row r="3440" s="435" customFormat="1" x14ac:dyDescent="0.3"/>
    <row r="3441" s="435" customFormat="1" x14ac:dyDescent="0.3"/>
    <row r="3442" s="435" customFormat="1" x14ac:dyDescent="0.3"/>
    <row r="3443" s="435" customFormat="1" x14ac:dyDescent="0.3"/>
    <row r="3444" s="435" customFormat="1" x14ac:dyDescent="0.3"/>
    <row r="3445" s="435" customFormat="1" x14ac:dyDescent="0.3"/>
    <row r="3446" s="435" customFormat="1" x14ac:dyDescent="0.3"/>
    <row r="3447" s="435" customFormat="1" x14ac:dyDescent="0.3"/>
    <row r="3448" s="435" customFormat="1" x14ac:dyDescent="0.3"/>
    <row r="3449" s="435" customFormat="1" x14ac:dyDescent="0.3"/>
    <row r="3450" s="435" customFormat="1" x14ac:dyDescent="0.3"/>
    <row r="3451" s="435" customFormat="1" x14ac:dyDescent="0.3"/>
    <row r="3452" s="435" customFormat="1" x14ac:dyDescent="0.3"/>
    <row r="3453" s="435" customFormat="1" x14ac:dyDescent="0.3"/>
    <row r="3454" s="435" customFormat="1" x14ac:dyDescent="0.3"/>
    <row r="3455" s="435" customFormat="1" x14ac:dyDescent="0.3"/>
    <row r="3456" s="435" customFormat="1" x14ac:dyDescent="0.3"/>
    <row r="3457" s="435" customFormat="1" x14ac:dyDescent="0.3"/>
    <row r="3458" s="435" customFormat="1" x14ac:dyDescent="0.3"/>
    <row r="3459" s="435" customFormat="1" x14ac:dyDescent="0.3"/>
    <row r="3460" s="435" customFormat="1" x14ac:dyDescent="0.3"/>
    <row r="3461" s="435" customFormat="1" x14ac:dyDescent="0.3"/>
    <row r="3462" s="435" customFormat="1" x14ac:dyDescent="0.3"/>
    <row r="3463" s="435" customFormat="1" x14ac:dyDescent="0.3"/>
    <row r="3464" s="435" customFormat="1" x14ac:dyDescent="0.3"/>
    <row r="3465" s="435" customFormat="1" x14ac:dyDescent="0.3"/>
    <row r="3466" s="435" customFormat="1" x14ac:dyDescent="0.3"/>
    <row r="3467" s="435" customFormat="1" x14ac:dyDescent="0.3"/>
    <row r="3468" s="435" customFormat="1" x14ac:dyDescent="0.3"/>
    <row r="3469" s="435" customFormat="1" x14ac:dyDescent="0.3"/>
    <row r="3470" s="435" customFormat="1" x14ac:dyDescent="0.3"/>
    <row r="3471" s="435" customFormat="1" x14ac:dyDescent="0.3"/>
    <row r="3472" s="435" customFormat="1" x14ac:dyDescent="0.3"/>
    <row r="3473" s="435" customFormat="1" x14ac:dyDescent="0.3"/>
    <row r="3474" s="435" customFormat="1" x14ac:dyDescent="0.3"/>
    <row r="3475" s="435" customFormat="1" x14ac:dyDescent="0.3"/>
    <row r="3476" s="435" customFormat="1" x14ac:dyDescent="0.3"/>
    <row r="3477" s="435" customFormat="1" x14ac:dyDescent="0.3"/>
    <row r="3478" s="435" customFormat="1" x14ac:dyDescent="0.3"/>
    <row r="3479" s="435" customFormat="1" x14ac:dyDescent="0.3"/>
    <row r="3480" s="435" customFormat="1" x14ac:dyDescent="0.3"/>
    <row r="3481" s="435" customFormat="1" x14ac:dyDescent="0.3"/>
    <row r="3482" s="435" customFormat="1" x14ac:dyDescent="0.3"/>
    <row r="3483" s="435" customFormat="1" x14ac:dyDescent="0.3"/>
    <row r="3484" s="435" customFormat="1" x14ac:dyDescent="0.3"/>
    <row r="3485" s="435" customFormat="1" x14ac:dyDescent="0.3"/>
    <row r="3486" s="435" customFormat="1" x14ac:dyDescent="0.3"/>
    <row r="3487" s="435" customFormat="1" x14ac:dyDescent="0.3"/>
    <row r="3488" s="435" customFormat="1" x14ac:dyDescent="0.3"/>
    <row r="3489" s="435" customFormat="1" x14ac:dyDescent="0.3"/>
    <row r="3490" s="435" customFormat="1" x14ac:dyDescent="0.3"/>
    <row r="3491" s="435" customFormat="1" x14ac:dyDescent="0.3"/>
    <row r="3492" s="435" customFormat="1" x14ac:dyDescent="0.3"/>
    <row r="3493" s="435" customFormat="1" x14ac:dyDescent="0.3"/>
    <row r="3494" s="435" customFormat="1" x14ac:dyDescent="0.3"/>
    <row r="3495" s="435" customFormat="1" x14ac:dyDescent="0.3"/>
    <row r="3496" s="435" customFormat="1" x14ac:dyDescent="0.3"/>
    <row r="3497" s="435" customFormat="1" x14ac:dyDescent="0.3"/>
    <row r="3498" s="435" customFormat="1" x14ac:dyDescent="0.3"/>
    <row r="3499" s="435" customFormat="1" x14ac:dyDescent="0.3"/>
    <row r="3500" s="435" customFormat="1" x14ac:dyDescent="0.3"/>
    <row r="3501" s="435" customFormat="1" x14ac:dyDescent="0.3"/>
    <row r="3502" s="435" customFormat="1" x14ac:dyDescent="0.3"/>
    <row r="3503" s="435" customFormat="1" x14ac:dyDescent="0.3"/>
    <row r="3504" s="435" customFormat="1" x14ac:dyDescent="0.3"/>
    <row r="3505" s="435" customFormat="1" x14ac:dyDescent="0.3"/>
    <row r="3506" s="435" customFormat="1" x14ac:dyDescent="0.3"/>
    <row r="3507" s="435" customFormat="1" x14ac:dyDescent="0.3"/>
    <row r="3508" s="435" customFormat="1" x14ac:dyDescent="0.3"/>
    <row r="3509" s="435" customFormat="1" x14ac:dyDescent="0.3"/>
    <row r="3510" s="435" customFormat="1" x14ac:dyDescent="0.3"/>
    <row r="3511" s="435" customFormat="1" x14ac:dyDescent="0.3"/>
    <row r="3512" s="435" customFormat="1" x14ac:dyDescent="0.3"/>
    <row r="3513" s="435" customFormat="1" x14ac:dyDescent="0.3"/>
    <row r="3514" s="435" customFormat="1" x14ac:dyDescent="0.3"/>
    <row r="3515" s="435" customFormat="1" x14ac:dyDescent="0.3"/>
    <row r="3516" s="435" customFormat="1" x14ac:dyDescent="0.3"/>
    <row r="3517" s="435" customFormat="1" x14ac:dyDescent="0.3"/>
    <row r="3518" s="435" customFormat="1" x14ac:dyDescent="0.3"/>
    <row r="3519" s="435" customFormat="1" x14ac:dyDescent="0.3"/>
    <row r="3520" s="435" customFormat="1" x14ac:dyDescent="0.3"/>
    <row r="3521" s="435" customFormat="1" x14ac:dyDescent="0.3"/>
    <row r="3522" s="435" customFormat="1" x14ac:dyDescent="0.3"/>
    <row r="3523" s="435" customFormat="1" x14ac:dyDescent="0.3"/>
    <row r="3524" s="435" customFormat="1" x14ac:dyDescent="0.3"/>
    <row r="3525" s="435" customFormat="1" x14ac:dyDescent="0.3"/>
    <row r="3526" s="435" customFormat="1" x14ac:dyDescent="0.3"/>
    <row r="3527" s="435" customFormat="1" x14ac:dyDescent="0.3"/>
    <row r="3528" s="435" customFormat="1" x14ac:dyDescent="0.3"/>
    <row r="3529" s="435" customFormat="1" x14ac:dyDescent="0.3"/>
    <row r="3530" s="435" customFormat="1" x14ac:dyDescent="0.3"/>
    <row r="3531" s="435" customFormat="1" x14ac:dyDescent="0.3"/>
    <row r="3532" s="435" customFormat="1" x14ac:dyDescent="0.3"/>
    <row r="3533" s="435" customFormat="1" x14ac:dyDescent="0.3"/>
    <row r="3534" s="435" customFormat="1" x14ac:dyDescent="0.3"/>
    <row r="3535" s="435" customFormat="1" x14ac:dyDescent="0.3"/>
    <row r="3536" s="435" customFormat="1" x14ac:dyDescent="0.3"/>
    <row r="3537" s="435" customFormat="1" x14ac:dyDescent="0.3"/>
    <row r="3538" s="435" customFormat="1" x14ac:dyDescent="0.3"/>
    <row r="3539" s="435" customFormat="1" x14ac:dyDescent="0.3"/>
    <row r="3540" s="435" customFormat="1" x14ac:dyDescent="0.3"/>
    <row r="3541" s="435" customFormat="1" x14ac:dyDescent="0.3"/>
    <row r="3542" s="435" customFormat="1" x14ac:dyDescent="0.3"/>
    <row r="3543" s="435" customFormat="1" x14ac:dyDescent="0.3"/>
    <row r="3544" s="435" customFormat="1" x14ac:dyDescent="0.3"/>
    <row r="3545" s="435" customFormat="1" x14ac:dyDescent="0.3"/>
    <row r="3546" s="435" customFormat="1" x14ac:dyDescent="0.3"/>
    <row r="3547" s="435" customFormat="1" x14ac:dyDescent="0.3"/>
    <row r="3548" s="435" customFormat="1" x14ac:dyDescent="0.3"/>
    <row r="3549" s="435" customFormat="1" x14ac:dyDescent="0.3"/>
    <row r="3550" s="435" customFormat="1" x14ac:dyDescent="0.3"/>
    <row r="3551" s="435" customFormat="1" x14ac:dyDescent="0.3"/>
    <row r="3552" s="435" customFormat="1" x14ac:dyDescent="0.3"/>
    <row r="3553" s="435" customFormat="1" x14ac:dyDescent="0.3"/>
    <row r="3554" s="435" customFormat="1" x14ac:dyDescent="0.3"/>
    <row r="3555" s="435" customFormat="1" x14ac:dyDescent="0.3"/>
    <row r="3556" s="435" customFormat="1" x14ac:dyDescent="0.3"/>
    <row r="3557" s="435" customFormat="1" x14ac:dyDescent="0.3"/>
    <row r="3558" s="435" customFormat="1" x14ac:dyDescent="0.3"/>
    <row r="3559" s="435" customFormat="1" x14ac:dyDescent="0.3"/>
    <row r="3560" s="435" customFormat="1" x14ac:dyDescent="0.3"/>
    <row r="3561" s="435" customFormat="1" x14ac:dyDescent="0.3"/>
    <row r="3562" s="435" customFormat="1" x14ac:dyDescent="0.3"/>
    <row r="3563" s="435" customFormat="1" x14ac:dyDescent="0.3"/>
    <row r="3564" s="435" customFormat="1" x14ac:dyDescent="0.3"/>
    <row r="3565" s="435" customFormat="1" x14ac:dyDescent="0.3"/>
    <row r="3566" s="435" customFormat="1" x14ac:dyDescent="0.3"/>
    <row r="3567" s="435" customFormat="1" x14ac:dyDescent="0.3"/>
    <row r="3568" s="435" customFormat="1" x14ac:dyDescent="0.3"/>
    <row r="3569" s="435" customFormat="1" x14ac:dyDescent="0.3"/>
    <row r="3570" s="435" customFormat="1" x14ac:dyDescent="0.3"/>
    <row r="3571" s="435" customFormat="1" x14ac:dyDescent="0.3"/>
    <row r="3572" s="435" customFormat="1" x14ac:dyDescent="0.3"/>
    <row r="3573" s="435" customFormat="1" x14ac:dyDescent="0.3"/>
    <row r="3574" s="435" customFormat="1" x14ac:dyDescent="0.3"/>
    <row r="3575" s="435" customFormat="1" x14ac:dyDescent="0.3"/>
    <row r="3576" s="435" customFormat="1" x14ac:dyDescent="0.3"/>
    <row r="3577" s="435" customFormat="1" x14ac:dyDescent="0.3"/>
    <row r="3578" s="435" customFormat="1" x14ac:dyDescent="0.3"/>
    <row r="3579" s="435" customFormat="1" x14ac:dyDescent="0.3"/>
    <row r="3580" s="435" customFormat="1" x14ac:dyDescent="0.3"/>
    <row r="3581" s="435" customFormat="1" x14ac:dyDescent="0.3"/>
    <row r="3582" s="435" customFormat="1" x14ac:dyDescent="0.3"/>
    <row r="3583" s="435" customFormat="1" x14ac:dyDescent="0.3"/>
    <row r="3584" s="435" customFormat="1" x14ac:dyDescent="0.3"/>
    <row r="3585" s="435" customFormat="1" x14ac:dyDescent="0.3"/>
    <row r="3586" s="435" customFormat="1" x14ac:dyDescent="0.3"/>
    <row r="3587" s="435" customFormat="1" x14ac:dyDescent="0.3"/>
    <row r="3588" s="435" customFormat="1" x14ac:dyDescent="0.3"/>
    <row r="3589" s="435" customFormat="1" x14ac:dyDescent="0.3"/>
    <row r="3590" s="435" customFormat="1" x14ac:dyDescent="0.3"/>
    <row r="3591" s="435" customFormat="1" x14ac:dyDescent="0.3"/>
    <row r="3592" s="435" customFormat="1" x14ac:dyDescent="0.3"/>
    <row r="3593" s="435" customFormat="1" x14ac:dyDescent="0.3"/>
    <row r="3594" s="435" customFormat="1" x14ac:dyDescent="0.3"/>
    <row r="3595" s="435" customFormat="1" x14ac:dyDescent="0.3"/>
    <row r="3596" s="435" customFormat="1" x14ac:dyDescent="0.3"/>
    <row r="3597" s="435" customFormat="1" x14ac:dyDescent="0.3"/>
    <row r="3598" s="435" customFormat="1" x14ac:dyDescent="0.3"/>
    <row r="3599" s="435" customFormat="1" x14ac:dyDescent="0.3"/>
    <row r="3600" s="435" customFormat="1" x14ac:dyDescent="0.3"/>
    <row r="3601" s="435" customFormat="1" x14ac:dyDescent="0.3"/>
    <row r="3602" s="435" customFormat="1" x14ac:dyDescent="0.3"/>
    <row r="3603" s="435" customFormat="1" x14ac:dyDescent="0.3"/>
    <row r="3604" s="435" customFormat="1" x14ac:dyDescent="0.3"/>
    <row r="3605" s="435" customFormat="1" x14ac:dyDescent="0.3"/>
    <row r="3606" s="435" customFormat="1" x14ac:dyDescent="0.3"/>
    <row r="3607" s="435" customFormat="1" x14ac:dyDescent="0.3"/>
    <row r="3608" s="435" customFormat="1" x14ac:dyDescent="0.3"/>
    <row r="3609" s="435" customFormat="1" x14ac:dyDescent="0.3"/>
    <row r="3610" s="435" customFormat="1" x14ac:dyDescent="0.3"/>
    <row r="3611" s="435" customFormat="1" x14ac:dyDescent="0.3"/>
    <row r="3612" s="435" customFormat="1" x14ac:dyDescent="0.3"/>
    <row r="3613" s="435" customFormat="1" x14ac:dyDescent="0.3"/>
    <row r="3614" s="435" customFormat="1" x14ac:dyDescent="0.3"/>
    <row r="3615" s="435" customFormat="1" x14ac:dyDescent="0.3"/>
    <row r="3616" s="435" customFormat="1" x14ac:dyDescent="0.3"/>
    <row r="3617" s="435" customFormat="1" x14ac:dyDescent="0.3"/>
    <row r="3618" s="435" customFormat="1" x14ac:dyDescent="0.3"/>
    <row r="3619" s="435" customFormat="1" x14ac:dyDescent="0.3"/>
    <row r="3620" s="435" customFormat="1" x14ac:dyDescent="0.3"/>
    <row r="3621" s="435" customFormat="1" x14ac:dyDescent="0.3"/>
    <row r="3622" s="435" customFormat="1" x14ac:dyDescent="0.3"/>
    <row r="3623" s="435" customFormat="1" x14ac:dyDescent="0.3"/>
    <row r="3624" s="435" customFormat="1" x14ac:dyDescent="0.3"/>
    <row r="3625" s="435" customFormat="1" x14ac:dyDescent="0.3"/>
    <row r="3626" s="435" customFormat="1" x14ac:dyDescent="0.3"/>
    <row r="3627" s="435" customFormat="1" x14ac:dyDescent="0.3"/>
    <row r="3628" s="435" customFormat="1" x14ac:dyDescent="0.3"/>
    <row r="3629" s="435" customFormat="1" x14ac:dyDescent="0.3"/>
    <row r="3630" s="435" customFormat="1" x14ac:dyDescent="0.3"/>
    <row r="3631" s="435" customFormat="1" x14ac:dyDescent="0.3"/>
    <row r="3632" s="435" customFormat="1" x14ac:dyDescent="0.3"/>
    <row r="3633" s="435" customFormat="1" x14ac:dyDescent="0.3"/>
    <row r="3634" s="435" customFormat="1" x14ac:dyDescent="0.3"/>
    <row r="3635" s="435" customFormat="1" x14ac:dyDescent="0.3"/>
    <row r="3636" s="435" customFormat="1" x14ac:dyDescent="0.3"/>
    <row r="3637" s="435" customFormat="1" x14ac:dyDescent="0.3"/>
    <row r="3638" s="435" customFormat="1" x14ac:dyDescent="0.3"/>
    <row r="3639" s="435" customFormat="1" x14ac:dyDescent="0.3"/>
    <row r="3640" s="435" customFormat="1" x14ac:dyDescent="0.3"/>
    <row r="3641" s="435" customFormat="1" x14ac:dyDescent="0.3"/>
    <row r="3642" s="435" customFormat="1" x14ac:dyDescent="0.3"/>
    <row r="3643" s="435" customFormat="1" x14ac:dyDescent="0.3"/>
    <row r="3644" s="435" customFormat="1" x14ac:dyDescent="0.3"/>
    <row r="3645" s="435" customFormat="1" x14ac:dyDescent="0.3"/>
    <row r="3646" s="435" customFormat="1" x14ac:dyDescent="0.3"/>
    <row r="3647" s="435" customFormat="1" x14ac:dyDescent="0.3"/>
    <row r="3648" s="435" customFormat="1" x14ac:dyDescent="0.3"/>
    <row r="3649" s="435" customFormat="1" x14ac:dyDescent="0.3"/>
    <row r="3650" s="435" customFormat="1" x14ac:dyDescent="0.3"/>
    <row r="3651" s="435" customFormat="1" x14ac:dyDescent="0.3"/>
    <row r="3652" s="435" customFormat="1" x14ac:dyDescent="0.3"/>
    <row r="3653" s="435" customFormat="1" x14ac:dyDescent="0.3"/>
    <row r="3654" s="435" customFormat="1" x14ac:dyDescent="0.3"/>
    <row r="3655" s="435" customFormat="1" x14ac:dyDescent="0.3"/>
    <row r="3656" s="435" customFormat="1" x14ac:dyDescent="0.3"/>
    <row r="3657" s="435" customFormat="1" x14ac:dyDescent="0.3"/>
    <row r="3658" s="435" customFormat="1" x14ac:dyDescent="0.3"/>
    <row r="3659" s="435" customFormat="1" x14ac:dyDescent="0.3"/>
    <row r="3660" s="435" customFormat="1" x14ac:dyDescent="0.3"/>
    <row r="3661" s="435" customFormat="1" x14ac:dyDescent="0.3"/>
    <row r="3662" s="435" customFormat="1" x14ac:dyDescent="0.3"/>
    <row r="3663" s="435" customFormat="1" x14ac:dyDescent="0.3"/>
    <row r="3664" s="435" customFormat="1" x14ac:dyDescent="0.3"/>
    <row r="3665" s="435" customFormat="1" x14ac:dyDescent="0.3"/>
    <row r="3666" s="435" customFormat="1" x14ac:dyDescent="0.3"/>
    <row r="3667" s="435" customFormat="1" x14ac:dyDescent="0.3"/>
    <row r="3668" s="435" customFormat="1" x14ac:dyDescent="0.3"/>
    <row r="3669" s="435" customFormat="1" x14ac:dyDescent="0.3"/>
    <row r="3670" s="435" customFormat="1" x14ac:dyDescent="0.3"/>
    <row r="3671" s="435" customFormat="1" x14ac:dyDescent="0.3"/>
    <row r="3672" s="435" customFormat="1" x14ac:dyDescent="0.3"/>
    <row r="3673" s="435" customFormat="1" x14ac:dyDescent="0.3"/>
    <row r="3674" s="435" customFormat="1" x14ac:dyDescent="0.3"/>
    <row r="3675" s="435" customFormat="1" x14ac:dyDescent="0.3"/>
    <row r="3676" s="435" customFormat="1" x14ac:dyDescent="0.3"/>
    <row r="3677" s="435" customFormat="1" x14ac:dyDescent="0.3"/>
    <row r="3678" s="435" customFormat="1" x14ac:dyDescent="0.3"/>
    <row r="3679" s="435" customFormat="1" x14ac:dyDescent="0.3"/>
    <row r="3680" s="435" customFormat="1" x14ac:dyDescent="0.3"/>
    <row r="3681" s="435" customFormat="1" x14ac:dyDescent="0.3"/>
    <row r="3682" s="435" customFormat="1" x14ac:dyDescent="0.3"/>
    <row r="3683" s="435" customFormat="1" x14ac:dyDescent="0.3"/>
    <row r="3684" s="435" customFormat="1" x14ac:dyDescent="0.3"/>
    <row r="3685" s="435" customFormat="1" x14ac:dyDescent="0.3"/>
    <row r="3686" s="435" customFormat="1" x14ac:dyDescent="0.3"/>
    <row r="3687" s="435" customFormat="1" x14ac:dyDescent="0.3"/>
    <row r="3688" s="435" customFormat="1" x14ac:dyDescent="0.3"/>
    <row r="3689" s="435" customFormat="1" x14ac:dyDescent="0.3"/>
    <row r="3690" s="435" customFormat="1" x14ac:dyDescent="0.3"/>
    <row r="3691" s="435" customFormat="1" x14ac:dyDescent="0.3"/>
    <row r="3692" s="435" customFormat="1" x14ac:dyDescent="0.3"/>
    <row r="3693" s="435" customFormat="1" x14ac:dyDescent="0.3"/>
    <row r="3694" s="435" customFormat="1" x14ac:dyDescent="0.3"/>
    <row r="3695" s="435" customFormat="1" x14ac:dyDescent="0.3"/>
    <row r="3696" s="435" customFormat="1" x14ac:dyDescent="0.3"/>
    <row r="3697" s="435" customFormat="1" x14ac:dyDescent="0.3"/>
    <row r="3698" s="435" customFormat="1" x14ac:dyDescent="0.3"/>
    <row r="3699" s="435" customFormat="1" x14ac:dyDescent="0.3"/>
    <row r="3700" s="435" customFormat="1" x14ac:dyDescent="0.3"/>
    <row r="3701" s="435" customFormat="1" x14ac:dyDescent="0.3"/>
    <row r="3702" s="435" customFormat="1" x14ac:dyDescent="0.3"/>
    <row r="3703" s="435" customFormat="1" x14ac:dyDescent="0.3"/>
    <row r="3704" s="435" customFormat="1" x14ac:dyDescent="0.3"/>
    <row r="3705" s="435" customFormat="1" x14ac:dyDescent="0.3"/>
    <row r="3706" s="435" customFormat="1" x14ac:dyDescent="0.3"/>
    <row r="3707" s="435" customFormat="1" x14ac:dyDescent="0.3"/>
    <row r="3708" s="435" customFormat="1" x14ac:dyDescent="0.3"/>
    <row r="3709" s="435" customFormat="1" x14ac:dyDescent="0.3"/>
    <row r="3710" s="435" customFormat="1" x14ac:dyDescent="0.3"/>
    <row r="3711" s="435" customFormat="1" x14ac:dyDescent="0.3"/>
    <row r="3712" s="435" customFormat="1" x14ac:dyDescent="0.3"/>
    <row r="3713" s="435" customFormat="1" x14ac:dyDescent="0.3"/>
    <row r="3714" s="435" customFormat="1" x14ac:dyDescent="0.3"/>
    <row r="3715" s="435" customFormat="1" x14ac:dyDescent="0.3"/>
    <row r="3716" s="435" customFormat="1" x14ac:dyDescent="0.3"/>
    <row r="3717" s="435" customFormat="1" x14ac:dyDescent="0.3"/>
    <row r="3718" s="435" customFormat="1" x14ac:dyDescent="0.3"/>
    <row r="3719" s="435" customFormat="1" x14ac:dyDescent="0.3"/>
    <row r="3720" s="435" customFormat="1" x14ac:dyDescent="0.3"/>
    <row r="3721" s="435" customFormat="1" x14ac:dyDescent="0.3"/>
    <row r="3722" s="435" customFormat="1" x14ac:dyDescent="0.3"/>
    <row r="3723" s="435" customFormat="1" x14ac:dyDescent="0.3"/>
    <row r="3724" s="435" customFormat="1" x14ac:dyDescent="0.3"/>
    <row r="3725" s="435" customFormat="1" x14ac:dyDescent="0.3"/>
    <row r="3726" s="435" customFormat="1" x14ac:dyDescent="0.3"/>
    <row r="3727" s="435" customFormat="1" x14ac:dyDescent="0.3"/>
    <row r="3728" s="435" customFormat="1" x14ac:dyDescent="0.3"/>
    <row r="3729" s="435" customFormat="1" x14ac:dyDescent="0.3"/>
    <row r="3730" s="435" customFormat="1" x14ac:dyDescent="0.3"/>
    <row r="3731" s="435" customFormat="1" x14ac:dyDescent="0.3"/>
    <row r="3732" s="435" customFormat="1" x14ac:dyDescent="0.3"/>
    <row r="3733" s="435" customFormat="1" x14ac:dyDescent="0.3"/>
    <row r="3734" s="435" customFormat="1" x14ac:dyDescent="0.3"/>
    <row r="3735" s="435" customFormat="1" x14ac:dyDescent="0.3"/>
    <row r="3736" s="435" customFormat="1" x14ac:dyDescent="0.3"/>
    <row r="3737" s="435" customFormat="1" x14ac:dyDescent="0.3"/>
    <row r="3738" s="435" customFormat="1" x14ac:dyDescent="0.3"/>
    <row r="3739" s="435" customFormat="1" x14ac:dyDescent="0.3"/>
    <row r="3740" s="435" customFormat="1" x14ac:dyDescent="0.3"/>
    <row r="3741" s="435" customFormat="1" x14ac:dyDescent="0.3"/>
    <row r="3742" s="435" customFormat="1" x14ac:dyDescent="0.3"/>
    <row r="3743" s="435" customFormat="1" x14ac:dyDescent="0.3"/>
    <row r="3744" s="435" customFormat="1" x14ac:dyDescent="0.3"/>
    <row r="3745" s="435" customFormat="1" x14ac:dyDescent="0.3"/>
    <row r="3746" s="435" customFormat="1" x14ac:dyDescent="0.3"/>
    <row r="3747" s="435" customFormat="1" x14ac:dyDescent="0.3"/>
    <row r="3748" s="435" customFormat="1" x14ac:dyDescent="0.3"/>
    <row r="3749" s="435" customFormat="1" x14ac:dyDescent="0.3"/>
    <row r="3750" s="435" customFormat="1" x14ac:dyDescent="0.3"/>
    <row r="3751" s="435" customFormat="1" x14ac:dyDescent="0.3"/>
    <row r="3752" s="435" customFormat="1" x14ac:dyDescent="0.3"/>
    <row r="3753" s="435" customFormat="1" x14ac:dyDescent="0.3"/>
    <row r="3754" s="435" customFormat="1" x14ac:dyDescent="0.3"/>
    <row r="3755" s="435" customFormat="1" x14ac:dyDescent="0.3"/>
    <row r="3756" s="435" customFormat="1" x14ac:dyDescent="0.3"/>
    <row r="3757" s="435" customFormat="1" x14ac:dyDescent="0.3"/>
    <row r="3758" s="435" customFormat="1" x14ac:dyDescent="0.3"/>
    <row r="3759" s="435" customFormat="1" x14ac:dyDescent="0.3"/>
    <row r="3760" s="435" customFormat="1" x14ac:dyDescent="0.3"/>
    <row r="3761" s="435" customFormat="1" x14ac:dyDescent="0.3"/>
    <row r="3762" s="435" customFormat="1" x14ac:dyDescent="0.3"/>
    <row r="3763" s="435" customFormat="1" x14ac:dyDescent="0.3"/>
    <row r="3764" s="435" customFormat="1" x14ac:dyDescent="0.3"/>
    <row r="3765" s="435" customFormat="1" x14ac:dyDescent="0.3"/>
    <row r="3766" s="435" customFormat="1" x14ac:dyDescent="0.3"/>
    <row r="3767" s="435" customFormat="1" x14ac:dyDescent="0.3"/>
    <row r="3768" s="435" customFormat="1" x14ac:dyDescent="0.3"/>
    <row r="3769" s="435" customFormat="1" x14ac:dyDescent="0.3"/>
    <row r="3770" s="435" customFormat="1" x14ac:dyDescent="0.3"/>
    <row r="3771" s="435" customFormat="1" x14ac:dyDescent="0.3"/>
    <row r="3772" s="435" customFormat="1" x14ac:dyDescent="0.3"/>
    <row r="3773" s="435" customFormat="1" x14ac:dyDescent="0.3"/>
    <row r="3774" s="435" customFormat="1" x14ac:dyDescent="0.3"/>
    <row r="3775" s="435" customFormat="1" x14ac:dyDescent="0.3"/>
    <row r="3776" s="435" customFormat="1" x14ac:dyDescent="0.3"/>
    <row r="3777" s="435" customFormat="1" x14ac:dyDescent="0.3"/>
    <row r="3778" s="435" customFormat="1" x14ac:dyDescent="0.3"/>
    <row r="3779" s="435" customFormat="1" x14ac:dyDescent="0.3"/>
    <row r="3780" s="435" customFormat="1" x14ac:dyDescent="0.3"/>
    <row r="3781" s="435" customFormat="1" x14ac:dyDescent="0.3"/>
    <row r="3782" s="435" customFormat="1" x14ac:dyDescent="0.3"/>
    <row r="3783" s="435" customFormat="1" x14ac:dyDescent="0.3"/>
    <row r="3784" s="435" customFormat="1" x14ac:dyDescent="0.3"/>
    <row r="3785" s="435" customFormat="1" x14ac:dyDescent="0.3"/>
    <row r="3786" s="435" customFormat="1" x14ac:dyDescent="0.3"/>
    <row r="3787" s="435" customFormat="1" x14ac:dyDescent="0.3"/>
    <row r="3788" s="435" customFormat="1" x14ac:dyDescent="0.3"/>
    <row r="3789" s="435" customFormat="1" x14ac:dyDescent="0.3"/>
    <row r="3790" s="435" customFormat="1" x14ac:dyDescent="0.3"/>
    <row r="3791" s="435" customFormat="1" x14ac:dyDescent="0.3"/>
    <row r="3792" s="435" customFormat="1" x14ac:dyDescent="0.3"/>
    <row r="3793" s="435" customFormat="1" x14ac:dyDescent="0.3"/>
    <row r="3794" s="435" customFormat="1" x14ac:dyDescent="0.3"/>
    <row r="3795" s="435" customFormat="1" x14ac:dyDescent="0.3"/>
    <row r="3796" s="435" customFormat="1" x14ac:dyDescent="0.3"/>
    <row r="3797" s="435" customFormat="1" x14ac:dyDescent="0.3"/>
    <row r="3798" s="435" customFormat="1" x14ac:dyDescent="0.3"/>
    <row r="3799" s="435" customFormat="1" x14ac:dyDescent="0.3"/>
    <row r="3800" s="435" customFormat="1" x14ac:dyDescent="0.3"/>
    <row r="3801" s="435" customFormat="1" x14ac:dyDescent="0.3"/>
    <row r="3802" s="435" customFormat="1" x14ac:dyDescent="0.3"/>
    <row r="3803" s="435" customFormat="1" x14ac:dyDescent="0.3"/>
    <row r="3804" s="435" customFormat="1" x14ac:dyDescent="0.3"/>
    <row r="3805" s="435" customFormat="1" x14ac:dyDescent="0.3"/>
    <row r="3806" s="435" customFormat="1" x14ac:dyDescent="0.3"/>
    <row r="3807" s="435" customFormat="1" x14ac:dyDescent="0.3"/>
    <row r="3808" s="435" customFormat="1" x14ac:dyDescent="0.3"/>
    <row r="3809" s="435" customFormat="1" x14ac:dyDescent="0.3"/>
    <row r="3810" s="435" customFormat="1" x14ac:dyDescent="0.3"/>
    <row r="3811" s="435" customFormat="1" x14ac:dyDescent="0.3"/>
    <row r="3812" s="435" customFormat="1" x14ac:dyDescent="0.3"/>
    <row r="3813" s="435" customFormat="1" x14ac:dyDescent="0.3"/>
    <row r="3814" s="435" customFormat="1" x14ac:dyDescent="0.3"/>
    <row r="3815" s="435" customFormat="1" x14ac:dyDescent="0.3"/>
    <row r="3816" s="435" customFormat="1" x14ac:dyDescent="0.3"/>
    <row r="3817" s="435" customFormat="1" x14ac:dyDescent="0.3"/>
    <row r="3818" s="435" customFormat="1" x14ac:dyDescent="0.3"/>
    <row r="3819" s="435" customFormat="1" x14ac:dyDescent="0.3"/>
    <row r="3820" s="435" customFormat="1" x14ac:dyDescent="0.3"/>
    <row r="3821" s="435" customFormat="1" x14ac:dyDescent="0.3"/>
    <row r="3822" s="435" customFormat="1" x14ac:dyDescent="0.3"/>
    <row r="3823" s="435" customFormat="1" x14ac:dyDescent="0.3"/>
    <row r="3824" s="435" customFormat="1" x14ac:dyDescent="0.3"/>
    <row r="3825" s="435" customFormat="1" x14ac:dyDescent="0.3"/>
    <row r="3826" s="435" customFormat="1" x14ac:dyDescent="0.3"/>
    <row r="3827" s="435" customFormat="1" x14ac:dyDescent="0.3"/>
    <row r="3828" s="435" customFormat="1" x14ac:dyDescent="0.3"/>
    <row r="3829" s="435" customFormat="1" x14ac:dyDescent="0.3"/>
    <row r="3830" s="435" customFormat="1" x14ac:dyDescent="0.3"/>
    <row r="3831" s="435" customFormat="1" x14ac:dyDescent="0.3"/>
    <row r="3832" s="435" customFormat="1" x14ac:dyDescent="0.3"/>
    <row r="3833" s="435" customFormat="1" x14ac:dyDescent="0.3"/>
    <row r="3834" s="435" customFormat="1" x14ac:dyDescent="0.3"/>
    <row r="3835" s="435" customFormat="1" x14ac:dyDescent="0.3"/>
    <row r="3836" s="435" customFormat="1" x14ac:dyDescent="0.3"/>
    <row r="3837" s="435" customFormat="1" x14ac:dyDescent="0.3"/>
    <row r="3838" s="435" customFormat="1" x14ac:dyDescent="0.3"/>
    <row r="3839" s="435" customFormat="1" x14ac:dyDescent="0.3"/>
    <row r="3840" s="435" customFormat="1" x14ac:dyDescent="0.3"/>
    <row r="3841" s="435" customFormat="1" x14ac:dyDescent="0.3"/>
    <row r="3842" s="435" customFormat="1" x14ac:dyDescent="0.3"/>
    <row r="3843" s="435" customFormat="1" x14ac:dyDescent="0.3"/>
    <row r="3844" s="435" customFormat="1" x14ac:dyDescent="0.3"/>
    <row r="3845" s="435" customFormat="1" x14ac:dyDescent="0.3"/>
    <row r="3846" s="435" customFormat="1" x14ac:dyDescent="0.3"/>
    <row r="3847" s="435" customFormat="1" x14ac:dyDescent="0.3"/>
    <row r="3848" s="435" customFormat="1" x14ac:dyDescent="0.3"/>
    <row r="3849" s="435" customFormat="1" x14ac:dyDescent="0.3"/>
    <row r="3850" s="435" customFormat="1" x14ac:dyDescent="0.3"/>
    <row r="3851" s="435" customFormat="1" x14ac:dyDescent="0.3"/>
    <row r="3852" s="435" customFormat="1" x14ac:dyDescent="0.3"/>
    <row r="3853" s="435" customFormat="1" x14ac:dyDescent="0.3"/>
    <row r="3854" s="435" customFormat="1" x14ac:dyDescent="0.3"/>
    <row r="3855" s="435" customFormat="1" x14ac:dyDescent="0.3"/>
    <row r="3856" s="435" customFormat="1" x14ac:dyDescent="0.3"/>
    <row r="3857" s="435" customFormat="1" x14ac:dyDescent="0.3"/>
    <row r="3858" s="435" customFormat="1" x14ac:dyDescent="0.3"/>
    <row r="3859" s="435" customFormat="1" x14ac:dyDescent="0.3"/>
    <row r="3860" s="435" customFormat="1" x14ac:dyDescent="0.3"/>
    <row r="3861" s="435" customFormat="1" x14ac:dyDescent="0.3"/>
    <row r="3862" s="435" customFormat="1" x14ac:dyDescent="0.3"/>
    <row r="3863" s="435" customFormat="1" x14ac:dyDescent="0.3"/>
    <row r="3864" s="435" customFormat="1" x14ac:dyDescent="0.3"/>
    <row r="3865" s="435" customFormat="1" x14ac:dyDescent="0.3"/>
    <row r="3866" s="435" customFormat="1" x14ac:dyDescent="0.3"/>
    <row r="3867" s="435" customFormat="1" x14ac:dyDescent="0.3"/>
    <row r="3868" s="435" customFormat="1" x14ac:dyDescent="0.3"/>
    <row r="3869" s="435" customFormat="1" x14ac:dyDescent="0.3"/>
    <row r="3870" s="435" customFormat="1" x14ac:dyDescent="0.3"/>
    <row r="3871" s="435" customFormat="1" x14ac:dyDescent="0.3"/>
    <row r="3872" s="435" customFormat="1" x14ac:dyDescent="0.3"/>
    <row r="3873" s="435" customFormat="1" x14ac:dyDescent="0.3"/>
    <row r="3874" s="435" customFormat="1" x14ac:dyDescent="0.3"/>
    <row r="3875" s="435" customFormat="1" x14ac:dyDescent="0.3"/>
    <row r="3876" s="435" customFormat="1" x14ac:dyDescent="0.3"/>
    <row r="3877" s="435" customFormat="1" x14ac:dyDescent="0.3"/>
    <row r="3878" s="435" customFormat="1" x14ac:dyDescent="0.3"/>
    <row r="3879" s="435" customFormat="1" x14ac:dyDescent="0.3"/>
    <row r="3880" s="435" customFormat="1" x14ac:dyDescent="0.3"/>
    <row r="3881" s="435" customFormat="1" x14ac:dyDescent="0.3"/>
    <row r="3882" s="435" customFormat="1" x14ac:dyDescent="0.3"/>
    <row r="3883" s="435" customFormat="1" x14ac:dyDescent="0.3"/>
    <row r="3884" s="435" customFormat="1" x14ac:dyDescent="0.3"/>
    <row r="3885" s="435" customFormat="1" x14ac:dyDescent="0.3"/>
    <row r="3886" s="435" customFormat="1" x14ac:dyDescent="0.3"/>
    <row r="3887" s="435" customFormat="1" x14ac:dyDescent="0.3"/>
    <row r="3888" s="435" customFormat="1" x14ac:dyDescent="0.3"/>
    <row r="3889" s="435" customFormat="1" x14ac:dyDescent="0.3"/>
    <row r="3890" s="435" customFormat="1" x14ac:dyDescent="0.3"/>
    <row r="3891" s="435" customFormat="1" x14ac:dyDescent="0.3"/>
    <row r="3892" s="435" customFormat="1" x14ac:dyDescent="0.3"/>
    <row r="3893" s="435" customFormat="1" x14ac:dyDescent="0.3"/>
    <row r="3894" s="435" customFormat="1" x14ac:dyDescent="0.3"/>
    <row r="3895" s="435" customFormat="1" x14ac:dyDescent="0.3"/>
    <row r="3896" s="435" customFormat="1" x14ac:dyDescent="0.3"/>
    <row r="3897" s="435" customFormat="1" x14ac:dyDescent="0.3"/>
    <row r="3898" s="435" customFormat="1" x14ac:dyDescent="0.3"/>
    <row r="3899" s="435" customFormat="1" x14ac:dyDescent="0.3"/>
    <row r="3900" s="435" customFormat="1" x14ac:dyDescent="0.3"/>
    <row r="3901" s="435" customFormat="1" x14ac:dyDescent="0.3"/>
    <row r="3902" s="435" customFormat="1" x14ac:dyDescent="0.3"/>
    <row r="3903" s="435" customFormat="1" x14ac:dyDescent="0.3"/>
    <row r="3904" s="435" customFormat="1" x14ac:dyDescent="0.3"/>
    <row r="3905" s="435" customFormat="1" x14ac:dyDescent="0.3"/>
    <row r="3906" s="435" customFormat="1" x14ac:dyDescent="0.3"/>
    <row r="3907" s="435" customFormat="1" x14ac:dyDescent="0.3"/>
    <row r="3908" s="435" customFormat="1" x14ac:dyDescent="0.3"/>
    <row r="3909" s="435" customFormat="1" x14ac:dyDescent="0.3"/>
    <row r="3910" s="435" customFormat="1" x14ac:dyDescent="0.3"/>
    <row r="3911" s="435" customFormat="1" x14ac:dyDescent="0.3"/>
    <row r="3912" s="435" customFormat="1" x14ac:dyDescent="0.3"/>
    <row r="3913" s="435" customFormat="1" x14ac:dyDescent="0.3"/>
    <row r="3914" s="435" customFormat="1" x14ac:dyDescent="0.3"/>
    <row r="3915" s="435" customFormat="1" x14ac:dyDescent="0.3"/>
    <row r="3916" s="435" customFormat="1" x14ac:dyDescent="0.3"/>
    <row r="3917" s="435" customFormat="1" x14ac:dyDescent="0.3"/>
    <row r="3918" s="435" customFormat="1" x14ac:dyDescent="0.3"/>
    <row r="3919" s="435" customFormat="1" x14ac:dyDescent="0.3"/>
    <row r="3920" s="435" customFormat="1" x14ac:dyDescent="0.3"/>
    <row r="3921" s="435" customFormat="1" x14ac:dyDescent="0.3"/>
    <row r="3922" s="435" customFormat="1" x14ac:dyDescent="0.3"/>
    <row r="3923" s="435" customFormat="1" x14ac:dyDescent="0.3"/>
    <row r="3924" s="435" customFormat="1" x14ac:dyDescent="0.3"/>
    <row r="3925" s="435" customFormat="1" x14ac:dyDescent="0.3"/>
    <row r="3926" s="435" customFormat="1" x14ac:dyDescent="0.3"/>
    <row r="3927" s="435" customFormat="1" x14ac:dyDescent="0.3"/>
    <row r="3928" s="435" customFormat="1" x14ac:dyDescent="0.3"/>
    <row r="3929" s="435" customFormat="1" x14ac:dyDescent="0.3"/>
    <row r="3930" s="435" customFormat="1" x14ac:dyDescent="0.3"/>
    <row r="3931" s="435" customFormat="1" x14ac:dyDescent="0.3"/>
    <row r="3932" s="435" customFormat="1" x14ac:dyDescent="0.3"/>
    <row r="3933" s="435" customFormat="1" x14ac:dyDescent="0.3"/>
    <row r="3934" s="435" customFormat="1" x14ac:dyDescent="0.3"/>
    <row r="3935" s="435" customFormat="1" x14ac:dyDescent="0.3"/>
    <row r="3936" s="435" customFormat="1" x14ac:dyDescent="0.3"/>
    <row r="3937" s="435" customFormat="1" x14ac:dyDescent="0.3"/>
    <row r="3938" s="435" customFormat="1" x14ac:dyDescent="0.3"/>
    <row r="3939" s="435" customFormat="1" x14ac:dyDescent="0.3"/>
    <row r="3940" s="435" customFormat="1" x14ac:dyDescent="0.3"/>
    <row r="3941" s="435" customFormat="1" x14ac:dyDescent="0.3"/>
    <row r="3942" s="435" customFormat="1" x14ac:dyDescent="0.3"/>
    <row r="3943" s="435" customFormat="1" x14ac:dyDescent="0.3"/>
    <row r="3944" s="435" customFormat="1" x14ac:dyDescent="0.3"/>
    <row r="3945" s="435" customFormat="1" x14ac:dyDescent="0.3"/>
    <row r="3946" s="435" customFormat="1" x14ac:dyDescent="0.3"/>
    <row r="3947" s="435" customFormat="1" x14ac:dyDescent="0.3"/>
    <row r="3948" s="435" customFormat="1" x14ac:dyDescent="0.3"/>
    <row r="3949" s="435" customFormat="1" x14ac:dyDescent="0.3"/>
    <row r="3950" s="435" customFormat="1" x14ac:dyDescent="0.3"/>
    <row r="3951" s="435" customFormat="1" x14ac:dyDescent="0.3"/>
    <row r="3952" s="435" customFormat="1" x14ac:dyDescent="0.3"/>
    <row r="3953" s="435" customFormat="1" x14ac:dyDescent="0.3"/>
    <row r="3954" s="435" customFormat="1" x14ac:dyDescent="0.3"/>
    <row r="3955" s="435" customFormat="1" x14ac:dyDescent="0.3"/>
    <row r="3956" s="435" customFormat="1" x14ac:dyDescent="0.3"/>
    <row r="3957" s="435" customFormat="1" x14ac:dyDescent="0.3"/>
    <row r="3958" s="435" customFormat="1" x14ac:dyDescent="0.3"/>
    <row r="3959" s="435" customFormat="1" x14ac:dyDescent="0.3"/>
    <row r="3960" s="435" customFormat="1" x14ac:dyDescent="0.3"/>
    <row r="3961" s="435" customFormat="1" x14ac:dyDescent="0.3"/>
    <row r="3962" s="435" customFormat="1" x14ac:dyDescent="0.3"/>
    <row r="3963" s="435" customFormat="1" x14ac:dyDescent="0.3"/>
    <row r="3964" s="435" customFormat="1" x14ac:dyDescent="0.3"/>
    <row r="3965" s="435" customFormat="1" x14ac:dyDescent="0.3"/>
    <row r="3966" s="435" customFormat="1" x14ac:dyDescent="0.3"/>
    <row r="3967" s="435" customFormat="1" x14ac:dyDescent="0.3"/>
    <row r="3968" s="435" customFormat="1" x14ac:dyDescent="0.3"/>
    <row r="3969" s="435" customFormat="1" x14ac:dyDescent="0.3"/>
    <row r="3970" s="435" customFormat="1" x14ac:dyDescent="0.3"/>
    <row r="3971" s="435" customFormat="1" x14ac:dyDescent="0.3"/>
    <row r="3972" s="435" customFormat="1" x14ac:dyDescent="0.3"/>
    <row r="3973" s="435" customFormat="1" x14ac:dyDescent="0.3"/>
    <row r="3974" s="435" customFormat="1" x14ac:dyDescent="0.3"/>
    <row r="3975" s="435" customFormat="1" x14ac:dyDescent="0.3"/>
    <row r="3976" s="435" customFormat="1" x14ac:dyDescent="0.3"/>
    <row r="3977" s="435" customFormat="1" x14ac:dyDescent="0.3"/>
    <row r="3978" s="435" customFormat="1" x14ac:dyDescent="0.3"/>
    <row r="3979" s="435" customFormat="1" x14ac:dyDescent="0.3"/>
    <row r="3980" s="435" customFormat="1" x14ac:dyDescent="0.3"/>
    <row r="3981" s="435" customFormat="1" x14ac:dyDescent="0.3"/>
    <row r="3982" s="435" customFormat="1" x14ac:dyDescent="0.3"/>
    <row r="3983" s="435" customFormat="1" x14ac:dyDescent="0.3"/>
    <row r="3984" s="435" customFormat="1" x14ac:dyDescent="0.3"/>
    <row r="3985" s="435" customFormat="1" x14ac:dyDescent="0.3"/>
    <row r="3986" s="435" customFormat="1" x14ac:dyDescent="0.3"/>
    <row r="3987" s="435" customFormat="1" x14ac:dyDescent="0.3"/>
    <row r="3988" s="435" customFormat="1" x14ac:dyDescent="0.3"/>
    <row r="3989" s="435" customFormat="1" x14ac:dyDescent="0.3"/>
    <row r="3990" s="435" customFormat="1" x14ac:dyDescent="0.3"/>
    <row r="3991" s="435" customFormat="1" x14ac:dyDescent="0.3"/>
    <row r="3992" s="435" customFormat="1" x14ac:dyDescent="0.3"/>
    <row r="3993" s="435" customFormat="1" x14ac:dyDescent="0.3"/>
    <row r="3994" s="435" customFormat="1" x14ac:dyDescent="0.3"/>
    <row r="3995" s="435" customFormat="1" x14ac:dyDescent="0.3"/>
    <row r="3996" s="435" customFormat="1" x14ac:dyDescent="0.3"/>
    <row r="3997" s="435" customFormat="1" x14ac:dyDescent="0.3"/>
    <row r="3998" s="435" customFormat="1" x14ac:dyDescent="0.3"/>
    <row r="3999" s="435" customFormat="1" x14ac:dyDescent="0.3"/>
    <row r="4000" s="435" customFormat="1" x14ac:dyDescent="0.3"/>
    <row r="4001" s="435" customFormat="1" x14ac:dyDescent="0.3"/>
    <row r="4002" s="435" customFormat="1" x14ac:dyDescent="0.3"/>
    <row r="4003" s="435" customFormat="1" x14ac:dyDescent="0.3"/>
    <row r="4004" s="435" customFormat="1" x14ac:dyDescent="0.3"/>
    <row r="4005" s="435" customFormat="1" x14ac:dyDescent="0.3"/>
    <row r="4006" s="435" customFormat="1" x14ac:dyDescent="0.3"/>
    <row r="4007" s="435" customFormat="1" x14ac:dyDescent="0.3"/>
    <row r="4008" s="435" customFormat="1" x14ac:dyDescent="0.3"/>
    <row r="4009" s="435" customFormat="1" x14ac:dyDescent="0.3"/>
    <row r="4010" s="435" customFormat="1" x14ac:dyDescent="0.3"/>
    <row r="4011" s="435" customFormat="1" x14ac:dyDescent="0.3"/>
    <row r="4012" s="435" customFormat="1" x14ac:dyDescent="0.3"/>
    <row r="4013" s="435" customFormat="1" x14ac:dyDescent="0.3"/>
    <row r="4014" s="435" customFormat="1" x14ac:dyDescent="0.3"/>
    <row r="4015" s="435" customFormat="1" x14ac:dyDescent="0.3"/>
    <row r="4016" s="435" customFormat="1" x14ac:dyDescent="0.3"/>
    <row r="4017" s="435" customFormat="1" x14ac:dyDescent="0.3"/>
    <row r="4018" s="435" customFormat="1" x14ac:dyDescent="0.3"/>
    <row r="4019" s="435" customFormat="1" x14ac:dyDescent="0.3"/>
    <row r="4020" s="435" customFormat="1" x14ac:dyDescent="0.3"/>
    <row r="4021" s="435" customFormat="1" x14ac:dyDescent="0.3"/>
    <row r="4022" s="435" customFormat="1" x14ac:dyDescent="0.3"/>
    <row r="4023" s="435" customFormat="1" x14ac:dyDescent="0.3"/>
    <row r="4024" s="435" customFormat="1" x14ac:dyDescent="0.3"/>
    <row r="4025" s="435" customFormat="1" x14ac:dyDescent="0.3"/>
    <row r="4026" s="435" customFormat="1" x14ac:dyDescent="0.3"/>
    <row r="4027" s="435" customFormat="1" x14ac:dyDescent="0.3"/>
    <row r="4028" s="435" customFormat="1" x14ac:dyDescent="0.3"/>
    <row r="4029" s="435" customFormat="1" x14ac:dyDescent="0.3"/>
    <row r="4030" s="435" customFormat="1" x14ac:dyDescent="0.3"/>
    <row r="4031" s="435" customFormat="1" x14ac:dyDescent="0.3"/>
    <row r="4032" s="435" customFormat="1" x14ac:dyDescent="0.3"/>
    <row r="4033" s="435" customFormat="1" x14ac:dyDescent="0.3"/>
    <row r="4034" s="435" customFormat="1" x14ac:dyDescent="0.3"/>
    <row r="4035" s="435" customFormat="1" x14ac:dyDescent="0.3"/>
    <row r="4036" s="435" customFormat="1" x14ac:dyDescent="0.3"/>
    <row r="4037" s="435" customFormat="1" x14ac:dyDescent="0.3"/>
    <row r="4038" s="435" customFormat="1" x14ac:dyDescent="0.3"/>
    <row r="4039" s="435" customFormat="1" x14ac:dyDescent="0.3"/>
    <row r="4040" s="435" customFormat="1" x14ac:dyDescent="0.3"/>
    <row r="4041" s="435" customFormat="1" x14ac:dyDescent="0.3"/>
    <row r="4042" s="435" customFormat="1" x14ac:dyDescent="0.3"/>
    <row r="4043" s="435" customFormat="1" x14ac:dyDescent="0.3"/>
    <row r="4044" s="435" customFormat="1" x14ac:dyDescent="0.3"/>
    <row r="4045" s="435" customFormat="1" x14ac:dyDescent="0.3"/>
    <row r="4046" s="435" customFormat="1" x14ac:dyDescent="0.3"/>
    <row r="4047" s="435" customFormat="1" x14ac:dyDescent="0.3"/>
    <row r="4048" s="435" customFormat="1" x14ac:dyDescent="0.3"/>
    <row r="4049" s="435" customFormat="1" x14ac:dyDescent="0.3"/>
    <row r="4050" s="435" customFormat="1" x14ac:dyDescent="0.3"/>
    <row r="4051" s="435" customFormat="1" x14ac:dyDescent="0.3"/>
    <row r="4052" s="435" customFormat="1" x14ac:dyDescent="0.3"/>
    <row r="4053" s="435" customFormat="1" x14ac:dyDescent="0.3"/>
    <row r="4054" s="435" customFormat="1" x14ac:dyDescent="0.3"/>
    <row r="4055" s="435" customFormat="1" x14ac:dyDescent="0.3"/>
    <row r="4056" s="435" customFormat="1" x14ac:dyDescent="0.3"/>
    <row r="4057" s="435" customFormat="1" x14ac:dyDescent="0.3"/>
    <row r="4058" s="435" customFormat="1" x14ac:dyDescent="0.3"/>
    <row r="4059" s="435" customFormat="1" x14ac:dyDescent="0.3"/>
    <row r="4060" s="435" customFormat="1" x14ac:dyDescent="0.3"/>
    <row r="4061" s="435" customFormat="1" x14ac:dyDescent="0.3"/>
    <row r="4062" s="435" customFormat="1" x14ac:dyDescent="0.3"/>
    <row r="4063" s="435" customFormat="1" x14ac:dyDescent="0.3"/>
    <row r="4064" s="435" customFormat="1" x14ac:dyDescent="0.3"/>
    <row r="4065" s="435" customFormat="1" x14ac:dyDescent="0.3"/>
    <row r="4066" s="435" customFormat="1" x14ac:dyDescent="0.3"/>
    <row r="4067" s="435" customFormat="1" x14ac:dyDescent="0.3"/>
    <row r="4068" s="435" customFormat="1" x14ac:dyDescent="0.3"/>
    <row r="4069" s="435" customFormat="1" x14ac:dyDescent="0.3"/>
    <row r="4070" s="435" customFormat="1" x14ac:dyDescent="0.3"/>
    <row r="4071" s="435" customFormat="1" x14ac:dyDescent="0.3"/>
    <row r="4072" s="435" customFormat="1" x14ac:dyDescent="0.3"/>
    <row r="4073" s="435" customFormat="1" x14ac:dyDescent="0.3"/>
    <row r="4074" s="435" customFormat="1" x14ac:dyDescent="0.3"/>
    <row r="4075" s="435" customFormat="1" x14ac:dyDescent="0.3"/>
    <row r="4076" s="435" customFormat="1" x14ac:dyDescent="0.3"/>
    <row r="4077" s="435" customFormat="1" x14ac:dyDescent="0.3"/>
    <row r="4078" s="435" customFormat="1" x14ac:dyDescent="0.3"/>
    <row r="4079" s="435" customFormat="1" x14ac:dyDescent="0.3"/>
    <row r="4080" s="435" customFormat="1" x14ac:dyDescent="0.3"/>
    <row r="4081" s="435" customFormat="1" x14ac:dyDescent="0.3"/>
    <row r="4082" s="435" customFormat="1" x14ac:dyDescent="0.3"/>
    <row r="4083" s="435" customFormat="1" x14ac:dyDescent="0.3"/>
    <row r="4084" s="435" customFormat="1" x14ac:dyDescent="0.3"/>
    <row r="4085" s="435" customFormat="1" x14ac:dyDescent="0.3"/>
    <row r="4086" s="435" customFormat="1" x14ac:dyDescent="0.3"/>
    <row r="4087" s="435" customFormat="1" x14ac:dyDescent="0.3"/>
    <row r="4088" s="435" customFormat="1" x14ac:dyDescent="0.3"/>
    <row r="4089" s="435" customFormat="1" x14ac:dyDescent="0.3"/>
    <row r="4090" s="435" customFormat="1" x14ac:dyDescent="0.3"/>
    <row r="4091" s="435" customFormat="1" x14ac:dyDescent="0.3"/>
    <row r="4092" s="435" customFormat="1" x14ac:dyDescent="0.3"/>
    <row r="4093" s="435" customFormat="1" x14ac:dyDescent="0.3"/>
    <row r="4094" s="435" customFormat="1" x14ac:dyDescent="0.3"/>
    <row r="4095" s="435" customFormat="1" x14ac:dyDescent="0.3"/>
    <row r="4096" s="435" customFormat="1" x14ac:dyDescent="0.3"/>
    <row r="4097" s="435" customFormat="1" x14ac:dyDescent="0.3"/>
    <row r="4098" s="435" customFormat="1" x14ac:dyDescent="0.3"/>
    <row r="4099" s="435" customFormat="1" x14ac:dyDescent="0.3"/>
    <row r="4100" s="435" customFormat="1" x14ac:dyDescent="0.3"/>
    <row r="4101" s="435" customFormat="1" x14ac:dyDescent="0.3"/>
    <row r="4102" s="435" customFormat="1" x14ac:dyDescent="0.3"/>
    <row r="4103" s="435" customFormat="1" x14ac:dyDescent="0.3"/>
    <row r="4104" s="435" customFormat="1" x14ac:dyDescent="0.3"/>
    <row r="4105" s="435" customFormat="1" x14ac:dyDescent="0.3"/>
    <row r="4106" s="435" customFormat="1" x14ac:dyDescent="0.3"/>
    <row r="4107" s="435" customFormat="1" x14ac:dyDescent="0.3"/>
    <row r="4108" s="435" customFormat="1" x14ac:dyDescent="0.3"/>
    <row r="4109" s="435" customFormat="1" x14ac:dyDescent="0.3"/>
    <row r="4110" s="435" customFormat="1" x14ac:dyDescent="0.3"/>
    <row r="4111" s="435" customFormat="1" x14ac:dyDescent="0.3"/>
    <row r="4112" s="435" customFormat="1" x14ac:dyDescent="0.3"/>
    <row r="4113" s="435" customFormat="1" x14ac:dyDescent="0.3"/>
    <row r="4114" s="435" customFormat="1" x14ac:dyDescent="0.3"/>
    <row r="4115" s="435" customFormat="1" x14ac:dyDescent="0.3"/>
    <row r="4116" s="435" customFormat="1" x14ac:dyDescent="0.3"/>
    <row r="4117" s="435" customFormat="1" x14ac:dyDescent="0.3"/>
    <row r="4118" s="435" customFormat="1" x14ac:dyDescent="0.3"/>
    <row r="4119" s="435" customFormat="1" x14ac:dyDescent="0.3"/>
    <row r="4120" s="435" customFormat="1" x14ac:dyDescent="0.3"/>
    <row r="4121" s="435" customFormat="1" x14ac:dyDescent="0.3"/>
    <row r="4122" s="435" customFormat="1" x14ac:dyDescent="0.3"/>
    <row r="4123" s="435" customFormat="1" x14ac:dyDescent="0.3"/>
    <row r="4124" s="435" customFormat="1" x14ac:dyDescent="0.3"/>
    <row r="4125" s="435" customFormat="1" x14ac:dyDescent="0.3"/>
    <row r="4126" s="435" customFormat="1" x14ac:dyDescent="0.3"/>
    <row r="4127" s="435" customFormat="1" x14ac:dyDescent="0.3"/>
    <row r="4128" s="435" customFormat="1" x14ac:dyDescent="0.3"/>
    <row r="4129" s="435" customFormat="1" x14ac:dyDescent="0.3"/>
    <row r="4130" s="435" customFormat="1" x14ac:dyDescent="0.3"/>
    <row r="4131" s="435" customFormat="1" x14ac:dyDescent="0.3"/>
    <row r="4132" s="435" customFormat="1" x14ac:dyDescent="0.3"/>
    <row r="4133" s="435" customFormat="1" x14ac:dyDescent="0.3"/>
    <row r="4134" s="435" customFormat="1" x14ac:dyDescent="0.3"/>
    <row r="4135" s="435" customFormat="1" x14ac:dyDescent="0.3"/>
    <row r="4136" s="435" customFormat="1" x14ac:dyDescent="0.3"/>
    <row r="4137" s="435" customFormat="1" x14ac:dyDescent="0.3"/>
    <row r="4138" s="435" customFormat="1" x14ac:dyDescent="0.3"/>
    <row r="4139" s="435" customFormat="1" x14ac:dyDescent="0.3"/>
    <row r="4140" s="435" customFormat="1" x14ac:dyDescent="0.3"/>
    <row r="4141" s="435" customFormat="1" x14ac:dyDescent="0.3"/>
    <row r="4142" s="435" customFormat="1" x14ac:dyDescent="0.3"/>
    <row r="4143" s="435" customFormat="1" x14ac:dyDescent="0.3"/>
    <row r="4144" s="435" customFormat="1" x14ac:dyDescent="0.3"/>
    <row r="4145" s="435" customFormat="1" x14ac:dyDescent="0.3"/>
    <row r="4146" s="435" customFormat="1" x14ac:dyDescent="0.3"/>
    <row r="4147" s="435" customFormat="1" x14ac:dyDescent="0.3"/>
    <row r="4148" s="435" customFormat="1" x14ac:dyDescent="0.3"/>
    <row r="4149" s="435" customFormat="1" x14ac:dyDescent="0.3"/>
    <row r="4150" s="435" customFormat="1" x14ac:dyDescent="0.3"/>
    <row r="4151" s="435" customFormat="1" x14ac:dyDescent="0.3"/>
    <row r="4152" s="435" customFormat="1" x14ac:dyDescent="0.3"/>
    <row r="4153" s="435" customFormat="1" x14ac:dyDescent="0.3"/>
    <row r="4154" s="435" customFormat="1" x14ac:dyDescent="0.3"/>
    <row r="4155" s="435" customFormat="1" x14ac:dyDescent="0.3"/>
    <row r="4156" s="435" customFormat="1" x14ac:dyDescent="0.3"/>
    <row r="4157" s="435" customFormat="1" x14ac:dyDescent="0.3"/>
    <row r="4158" s="435" customFormat="1" x14ac:dyDescent="0.3"/>
    <row r="4159" s="435" customFormat="1" x14ac:dyDescent="0.3"/>
    <row r="4160" s="435" customFormat="1" x14ac:dyDescent="0.3"/>
    <row r="4161" s="435" customFormat="1" x14ac:dyDescent="0.3"/>
    <row r="4162" s="435" customFormat="1" x14ac:dyDescent="0.3"/>
    <row r="4163" s="435" customFormat="1" x14ac:dyDescent="0.3"/>
    <row r="4164" s="435" customFormat="1" x14ac:dyDescent="0.3"/>
    <row r="4165" s="435" customFormat="1" x14ac:dyDescent="0.3"/>
    <row r="4166" s="435" customFormat="1" x14ac:dyDescent="0.3"/>
    <row r="4167" s="435" customFormat="1" x14ac:dyDescent="0.3"/>
    <row r="4168" s="435" customFormat="1" x14ac:dyDescent="0.3"/>
    <row r="4169" s="435" customFormat="1" x14ac:dyDescent="0.3"/>
    <row r="4170" s="435" customFormat="1" x14ac:dyDescent="0.3"/>
    <row r="4171" s="435" customFormat="1" x14ac:dyDescent="0.3"/>
    <row r="4172" s="435" customFormat="1" x14ac:dyDescent="0.3"/>
    <row r="4173" s="435" customFormat="1" x14ac:dyDescent="0.3"/>
    <row r="4174" s="435" customFormat="1" x14ac:dyDescent="0.3"/>
    <row r="4175" s="435" customFormat="1" x14ac:dyDescent="0.3"/>
    <row r="4176" s="435" customFormat="1" x14ac:dyDescent="0.3"/>
    <row r="4177" s="435" customFormat="1" x14ac:dyDescent="0.3"/>
    <row r="4178" s="435" customFormat="1" x14ac:dyDescent="0.3"/>
    <row r="4179" s="435" customFormat="1" x14ac:dyDescent="0.3"/>
    <row r="4180" s="435" customFormat="1" x14ac:dyDescent="0.3"/>
    <row r="4181" s="435" customFormat="1" x14ac:dyDescent="0.3"/>
    <row r="4182" s="435" customFormat="1" x14ac:dyDescent="0.3"/>
    <row r="4183" s="435" customFormat="1" x14ac:dyDescent="0.3"/>
    <row r="4184" s="435" customFormat="1" x14ac:dyDescent="0.3"/>
    <row r="4185" s="435" customFormat="1" x14ac:dyDescent="0.3"/>
    <row r="4186" s="435" customFormat="1" x14ac:dyDescent="0.3"/>
    <row r="4187" s="435" customFormat="1" x14ac:dyDescent="0.3"/>
    <row r="4188" s="435" customFormat="1" x14ac:dyDescent="0.3"/>
    <row r="4189" s="435" customFormat="1" x14ac:dyDescent="0.3"/>
    <row r="4190" s="435" customFormat="1" x14ac:dyDescent="0.3"/>
    <row r="4191" s="435" customFormat="1" x14ac:dyDescent="0.3"/>
    <row r="4192" s="435" customFormat="1" x14ac:dyDescent="0.3"/>
    <row r="4193" s="435" customFormat="1" x14ac:dyDescent="0.3"/>
    <row r="4194" s="435" customFormat="1" x14ac:dyDescent="0.3"/>
    <row r="4195" s="435" customFormat="1" x14ac:dyDescent="0.3"/>
    <row r="4196" s="435" customFormat="1" x14ac:dyDescent="0.3"/>
    <row r="4197" s="435" customFormat="1" x14ac:dyDescent="0.3"/>
    <row r="4198" s="435" customFormat="1" x14ac:dyDescent="0.3"/>
    <row r="4199" s="435" customFormat="1" x14ac:dyDescent="0.3"/>
    <row r="4200" s="435" customFormat="1" x14ac:dyDescent="0.3"/>
    <row r="4201" s="435" customFormat="1" x14ac:dyDescent="0.3"/>
    <row r="4202" s="435" customFormat="1" x14ac:dyDescent="0.3"/>
    <row r="4203" s="435" customFormat="1" x14ac:dyDescent="0.3"/>
    <row r="4204" s="435" customFormat="1" x14ac:dyDescent="0.3"/>
    <row r="4205" s="435" customFormat="1" x14ac:dyDescent="0.3"/>
    <row r="4206" s="435" customFormat="1" x14ac:dyDescent="0.3"/>
    <row r="4207" s="435" customFormat="1" x14ac:dyDescent="0.3"/>
    <row r="4208" s="435" customFormat="1" x14ac:dyDescent="0.3"/>
    <row r="4209" s="435" customFormat="1" x14ac:dyDescent="0.3"/>
    <row r="4210" s="435" customFormat="1" x14ac:dyDescent="0.3"/>
    <row r="4211" s="435" customFormat="1" x14ac:dyDescent="0.3"/>
    <row r="4212" s="435" customFormat="1" x14ac:dyDescent="0.3"/>
    <row r="4213" s="435" customFormat="1" x14ac:dyDescent="0.3"/>
    <row r="4214" s="435" customFormat="1" x14ac:dyDescent="0.3"/>
    <row r="4215" s="435" customFormat="1" x14ac:dyDescent="0.3"/>
    <row r="4216" s="435" customFormat="1" x14ac:dyDescent="0.3"/>
    <row r="4217" s="435" customFormat="1" x14ac:dyDescent="0.3"/>
    <row r="4218" s="435" customFormat="1" x14ac:dyDescent="0.3"/>
    <row r="4219" s="435" customFormat="1" x14ac:dyDescent="0.3"/>
    <row r="4220" s="435" customFormat="1" x14ac:dyDescent="0.3"/>
    <row r="4221" s="435" customFormat="1" x14ac:dyDescent="0.3"/>
    <row r="4222" s="435" customFormat="1" x14ac:dyDescent="0.3"/>
    <row r="4223" s="435" customFormat="1" x14ac:dyDescent="0.3"/>
    <row r="4224" s="435" customFormat="1" x14ac:dyDescent="0.3"/>
    <row r="4225" s="435" customFormat="1" x14ac:dyDescent="0.3"/>
    <row r="4226" s="435" customFormat="1" x14ac:dyDescent="0.3"/>
    <row r="4227" s="435" customFormat="1" x14ac:dyDescent="0.3"/>
    <row r="4228" s="435" customFormat="1" x14ac:dyDescent="0.3"/>
    <row r="4229" s="435" customFormat="1" x14ac:dyDescent="0.3"/>
    <row r="4230" s="435" customFormat="1" x14ac:dyDescent="0.3"/>
    <row r="4231" s="435" customFormat="1" x14ac:dyDescent="0.3"/>
    <row r="4232" s="435" customFormat="1" x14ac:dyDescent="0.3"/>
    <row r="4233" s="435" customFormat="1" x14ac:dyDescent="0.3"/>
    <row r="4234" s="435" customFormat="1" x14ac:dyDescent="0.3"/>
    <row r="4235" s="435" customFormat="1" x14ac:dyDescent="0.3"/>
    <row r="4236" s="435" customFormat="1" x14ac:dyDescent="0.3"/>
    <row r="4237" s="435" customFormat="1" x14ac:dyDescent="0.3"/>
    <row r="4238" s="435" customFormat="1" x14ac:dyDescent="0.3"/>
    <row r="4239" s="435" customFormat="1" x14ac:dyDescent="0.3"/>
    <row r="4240" s="435" customFormat="1" x14ac:dyDescent="0.3"/>
    <row r="4241" s="435" customFormat="1" x14ac:dyDescent="0.3"/>
    <row r="4242" s="435" customFormat="1" x14ac:dyDescent="0.3"/>
    <row r="4243" s="435" customFormat="1" x14ac:dyDescent="0.3"/>
    <row r="4244" s="435" customFormat="1" x14ac:dyDescent="0.3"/>
    <row r="4245" s="435" customFormat="1" x14ac:dyDescent="0.3"/>
    <row r="4246" s="435" customFormat="1" x14ac:dyDescent="0.3"/>
    <row r="4247" s="435" customFormat="1" x14ac:dyDescent="0.3"/>
    <row r="4248" s="435" customFormat="1" x14ac:dyDescent="0.3"/>
    <row r="4249" s="435" customFormat="1" x14ac:dyDescent="0.3"/>
    <row r="4250" s="435" customFormat="1" x14ac:dyDescent="0.3"/>
    <row r="4251" s="435" customFormat="1" x14ac:dyDescent="0.3"/>
    <row r="4252" s="435" customFormat="1" x14ac:dyDescent="0.3"/>
    <row r="4253" s="435" customFormat="1" x14ac:dyDescent="0.3"/>
    <row r="4254" s="435" customFormat="1" x14ac:dyDescent="0.3"/>
    <row r="4255" s="435" customFormat="1" x14ac:dyDescent="0.3"/>
    <row r="4256" s="435" customFormat="1" x14ac:dyDescent="0.3"/>
    <row r="4257" s="435" customFormat="1" x14ac:dyDescent="0.3"/>
    <row r="4258" s="435" customFormat="1" x14ac:dyDescent="0.3"/>
    <row r="4259" s="435" customFormat="1" x14ac:dyDescent="0.3"/>
    <row r="4260" s="435" customFormat="1" x14ac:dyDescent="0.3"/>
    <row r="4261" s="435" customFormat="1" x14ac:dyDescent="0.3"/>
    <row r="4262" s="435" customFormat="1" x14ac:dyDescent="0.3"/>
    <row r="4263" s="435" customFormat="1" x14ac:dyDescent="0.3"/>
    <row r="4264" s="435" customFormat="1" x14ac:dyDescent="0.3"/>
    <row r="4265" s="435" customFormat="1" x14ac:dyDescent="0.3"/>
    <row r="4266" s="435" customFormat="1" x14ac:dyDescent="0.3"/>
    <row r="4267" s="435" customFormat="1" x14ac:dyDescent="0.3"/>
    <row r="4268" s="435" customFormat="1" x14ac:dyDescent="0.3"/>
    <row r="4269" s="435" customFormat="1" x14ac:dyDescent="0.3"/>
    <row r="4270" s="435" customFormat="1" x14ac:dyDescent="0.3"/>
    <row r="4271" s="435" customFormat="1" x14ac:dyDescent="0.3"/>
    <row r="4272" s="435" customFormat="1" x14ac:dyDescent="0.3"/>
    <row r="4273" s="435" customFormat="1" x14ac:dyDescent="0.3"/>
    <row r="4274" s="435" customFormat="1" x14ac:dyDescent="0.3"/>
    <row r="4275" s="435" customFormat="1" x14ac:dyDescent="0.3"/>
    <row r="4276" s="435" customFormat="1" x14ac:dyDescent="0.3"/>
    <row r="4277" s="435" customFormat="1" x14ac:dyDescent="0.3"/>
    <row r="4278" s="435" customFormat="1" x14ac:dyDescent="0.3"/>
    <row r="4279" s="435" customFormat="1" x14ac:dyDescent="0.3"/>
    <row r="4280" s="435" customFormat="1" x14ac:dyDescent="0.3"/>
    <row r="4281" s="435" customFormat="1" x14ac:dyDescent="0.3"/>
    <row r="4282" s="435" customFormat="1" x14ac:dyDescent="0.3"/>
    <row r="4283" s="435" customFormat="1" x14ac:dyDescent="0.3"/>
    <row r="4284" s="435" customFormat="1" x14ac:dyDescent="0.3"/>
    <row r="4285" s="435" customFormat="1" x14ac:dyDescent="0.3"/>
    <row r="4286" s="435" customFormat="1" x14ac:dyDescent="0.3"/>
    <row r="4287" s="435" customFormat="1" x14ac:dyDescent="0.3"/>
    <row r="4288" s="435" customFormat="1" x14ac:dyDescent="0.3"/>
    <row r="4289" s="435" customFormat="1" x14ac:dyDescent="0.3"/>
    <row r="4290" s="435" customFormat="1" x14ac:dyDescent="0.3"/>
    <row r="4291" s="435" customFormat="1" x14ac:dyDescent="0.3"/>
    <row r="4292" s="435" customFormat="1" x14ac:dyDescent="0.3"/>
    <row r="4293" s="435" customFormat="1" x14ac:dyDescent="0.3"/>
    <row r="4294" s="435" customFormat="1" x14ac:dyDescent="0.3"/>
    <row r="4295" s="435" customFormat="1" x14ac:dyDescent="0.3"/>
    <row r="4296" s="435" customFormat="1" x14ac:dyDescent="0.3"/>
    <row r="4297" s="435" customFormat="1" x14ac:dyDescent="0.3"/>
    <row r="4298" s="435" customFormat="1" x14ac:dyDescent="0.3"/>
    <row r="4299" s="435" customFormat="1" x14ac:dyDescent="0.3"/>
    <row r="4300" s="435" customFormat="1" x14ac:dyDescent="0.3"/>
    <row r="4301" s="435" customFormat="1" x14ac:dyDescent="0.3"/>
    <row r="4302" s="435" customFormat="1" x14ac:dyDescent="0.3"/>
    <row r="4303" s="435" customFormat="1" x14ac:dyDescent="0.3"/>
    <row r="4304" s="435" customFormat="1" x14ac:dyDescent="0.3"/>
    <row r="4305" s="435" customFormat="1" x14ac:dyDescent="0.3"/>
    <row r="4306" s="435" customFormat="1" x14ac:dyDescent="0.3"/>
    <row r="4307" s="435" customFormat="1" x14ac:dyDescent="0.3"/>
    <row r="4308" s="435" customFormat="1" x14ac:dyDescent="0.3"/>
    <row r="4309" s="435" customFormat="1" x14ac:dyDescent="0.3"/>
    <row r="4310" s="435" customFormat="1" x14ac:dyDescent="0.3"/>
    <row r="4311" s="435" customFormat="1" x14ac:dyDescent="0.3"/>
    <row r="4312" s="435" customFormat="1" x14ac:dyDescent="0.3"/>
    <row r="4313" s="435" customFormat="1" x14ac:dyDescent="0.3"/>
    <row r="4314" s="435" customFormat="1" x14ac:dyDescent="0.3"/>
    <row r="4315" s="435" customFormat="1" x14ac:dyDescent="0.3"/>
    <row r="4316" s="435" customFormat="1" x14ac:dyDescent="0.3"/>
    <row r="4317" s="435" customFormat="1" x14ac:dyDescent="0.3"/>
    <row r="4318" s="435" customFormat="1" x14ac:dyDescent="0.3"/>
    <row r="4319" s="435" customFormat="1" x14ac:dyDescent="0.3"/>
    <row r="4320" s="435" customFormat="1" x14ac:dyDescent="0.3"/>
    <row r="4321" s="435" customFormat="1" x14ac:dyDescent="0.3"/>
    <row r="4322" s="435" customFormat="1" x14ac:dyDescent="0.3"/>
    <row r="4323" s="435" customFormat="1" x14ac:dyDescent="0.3"/>
    <row r="4324" s="435" customFormat="1" x14ac:dyDescent="0.3"/>
    <row r="4325" s="435" customFormat="1" x14ac:dyDescent="0.3"/>
    <row r="4326" s="435" customFormat="1" x14ac:dyDescent="0.3"/>
    <row r="4327" s="435" customFormat="1" x14ac:dyDescent="0.3"/>
    <row r="4328" s="435" customFormat="1" x14ac:dyDescent="0.3"/>
    <row r="4329" s="435" customFormat="1" x14ac:dyDescent="0.3"/>
    <row r="4330" s="435" customFormat="1" x14ac:dyDescent="0.3"/>
    <row r="4331" s="435" customFormat="1" x14ac:dyDescent="0.3"/>
    <row r="4332" s="435" customFormat="1" x14ac:dyDescent="0.3"/>
    <row r="4333" s="435" customFormat="1" x14ac:dyDescent="0.3"/>
    <row r="4334" s="435" customFormat="1" x14ac:dyDescent="0.3"/>
    <row r="4335" s="435" customFormat="1" x14ac:dyDescent="0.3"/>
    <row r="4336" s="435" customFormat="1" x14ac:dyDescent="0.3"/>
    <row r="4337" s="435" customFormat="1" x14ac:dyDescent="0.3"/>
    <row r="4338" s="435" customFormat="1" x14ac:dyDescent="0.3"/>
    <row r="4339" s="435" customFormat="1" x14ac:dyDescent="0.3"/>
    <row r="4340" s="435" customFormat="1" x14ac:dyDescent="0.3"/>
    <row r="4341" s="435" customFormat="1" x14ac:dyDescent="0.3"/>
    <row r="4342" s="435" customFormat="1" x14ac:dyDescent="0.3"/>
    <row r="4343" s="435" customFormat="1" x14ac:dyDescent="0.3"/>
    <row r="4344" s="435" customFormat="1" x14ac:dyDescent="0.3"/>
    <row r="4345" s="435" customFormat="1" x14ac:dyDescent="0.3"/>
    <row r="4346" s="435" customFormat="1" x14ac:dyDescent="0.3"/>
    <row r="4347" s="435" customFormat="1" x14ac:dyDescent="0.3"/>
    <row r="4348" s="435" customFormat="1" x14ac:dyDescent="0.3"/>
    <row r="4349" s="435" customFormat="1" x14ac:dyDescent="0.3"/>
    <row r="4350" s="435" customFormat="1" x14ac:dyDescent="0.3"/>
    <row r="4351" s="435" customFormat="1" x14ac:dyDescent="0.3"/>
    <row r="4352" s="435" customFormat="1" x14ac:dyDescent="0.3"/>
    <row r="4353" s="435" customFormat="1" x14ac:dyDescent="0.3"/>
    <row r="4354" s="435" customFormat="1" x14ac:dyDescent="0.3"/>
    <row r="4355" s="435" customFormat="1" x14ac:dyDescent="0.3"/>
    <row r="4356" s="435" customFormat="1" x14ac:dyDescent="0.3"/>
    <row r="4357" s="435" customFormat="1" x14ac:dyDescent="0.3"/>
    <row r="4358" s="435" customFormat="1" x14ac:dyDescent="0.3"/>
    <row r="4359" s="435" customFormat="1" x14ac:dyDescent="0.3"/>
    <row r="4360" s="435" customFormat="1" x14ac:dyDescent="0.3"/>
    <row r="4361" s="435" customFormat="1" x14ac:dyDescent="0.3"/>
    <row r="4362" s="435" customFormat="1" x14ac:dyDescent="0.3"/>
    <row r="4363" s="435" customFormat="1" x14ac:dyDescent="0.3"/>
    <row r="4364" s="435" customFormat="1" x14ac:dyDescent="0.3"/>
    <row r="4365" s="435" customFormat="1" x14ac:dyDescent="0.3"/>
    <row r="4366" s="435" customFormat="1" x14ac:dyDescent="0.3"/>
    <row r="4367" s="435" customFormat="1" x14ac:dyDescent="0.3"/>
    <row r="4368" s="435" customFormat="1" x14ac:dyDescent="0.3"/>
    <row r="4369" s="435" customFormat="1" x14ac:dyDescent="0.3"/>
    <row r="4370" s="435" customFormat="1" x14ac:dyDescent="0.3"/>
    <row r="4371" s="435" customFormat="1" x14ac:dyDescent="0.3"/>
    <row r="4372" s="435" customFormat="1" x14ac:dyDescent="0.3"/>
    <row r="4373" s="435" customFormat="1" x14ac:dyDescent="0.3"/>
    <row r="4374" s="435" customFormat="1" x14ac:dyDescent="0.3"/>
    <row r="4375" s="435" customFormat="1" x14ac:dyDescent="0.3"/>
    <row r="4376" s="435" customFormat="1" x14ac:dyDescent="0.3"/>
    <row r="4377" s="435" customFormat="1" x14ac:dyDescent="0.3"/>
    <row r="4378" s="435" customFormat="1" x14ac:dyDescent="0.3"/>
    <row r="4379" s="435" customFormat="1" x14ac:dyDescent="0.3"/>
    <row r="4380" s="435" customFormat="1" x14ac:dyDescent="0.3"/>
    <row r="4381" s="435" customFormat="1" x14ac:dyDescent="0.3"/>
    <row r="4382" s="435" customFormat="1" x14ac:dyDescent="0.3"/>
    <row r="4383" s="435" customFormat="1" x14ac:dyDescent="0.3"/>
    <row r="4384" s="435" customFormat="1" x14ac:dyDescent="0.3"/>
    <row r="4385" s="435" customFormat="1" x14ac:dyDescent="0.3"/>
    <row r="4386" s="435" customFormat="1" x14ac:dyDescent="0.3"/>
    <row r="4387" s="435" customFormat="1" x14ac:dyDescent="0.3"/>
    <row r="4388" s="435" customFormat="1" x14ac:dyDescent="0.3"/>
    <row r="4389" s="435" customFormat="1" x14ac:dyDescent="0.3"/>
    <row r="4390" s="435" customFormat="1" x14ac:dyDescent="0.3"/>
    <row r="4391" s="435" customFormat="1" x14ac:dyDescent="0.3"/>
    <row r="4392" s="435" customFormat="1" x14ac:dyDescent="0.3"/>
    <row r="4393" s="435" customFormat="1" x14ac:dyDescent="0.3"/>
    <row r="4394" s="435" customFormat="1" x14ac:dyDescent="0.3"/>
    <row r="4395" s="435" customFormat="1" x14ac:dyDescent="0.3"/>
    <row r="4396" s="435" customFormat="1" x14ac:dyDescent="0.3"/>
    <row r="4397" s="435" customFormat="1" x14ac:dyDescent="0.3"/>
    <row r="4398" s="435" customFormat="1" x14ac:dyDescent="0.3"/>
    <row r="4399" s="435" customFormat="1" x14ac:dyDescent="0.3"/>
    <row r="4400" s="435" customFormat="1" x14ac:dyDescent="0.3"/>
    <row r="4401" s="435" customFormat="1" x14ac:dyDescent="0.3"/>
    <row r="4402" s="435" customFormat="1" x14ac:dyDescent="0.3"/>
    <row r="4403" s="435" customFormat="1" x14ac:dyDescent="0.3"/>
    <row r="4404" s="435" customFormat="1" x14ac:dyDescent="0.3"/>
    <row r="4405" s="435" customFormat="1" x14ac:dyDescent="0.3"/>
    <row r="4406" s="435" customFormat="1" x14ac:dyDescent="0.3"/>
    <row r="4407" s="435" customFormat="1" x14ac:dyDescent="0.3"/>
    <row r="4408" s="435" customFormat="1" x14ac:dyDescent="0.3"/>
    <row r="4409" s="435" customFormat="1" x14ac:dyDescent="0.3"/>
    <row r="4410" s="435" customFormat="1" x14ac:dyDescent="0.3"/>
    <row r="4411" s="435" customFormat="1" x14ac:dyDescent="0.3"/>
    <row r="4412" s="435" customFormat="1" x14ac:dyDescent="0.3"/>
    <row r="4413" s="435" customFormat="1" x14ac:dyDescent="0.3"/>
    <row r="4414" s="435" customFormat="1" x14ac:dyDescent="0.3"/>
    <row r="4415" s="435" customFormat="1" x14ac:dyDescent="0.3"/>
    <row r="4416" s="435" customFormat="1" x14ac:dyDescent="0.3"/>
    <row r="4417" s="435" customFormat="1" x14ac:dyDescent="0.3"/>
    <row r="4418" s="435" customFormat="1" x14ac:dyDescent="0.3"/>
    <row r="4419" s="435" customFormat="1" x14ac:dyDescent="0.3"/>
    <row r="4420" s="435" customFormat="1" x14ac:dyDescent="0.3"/>
    <row r="4421" s="435" customFormat="1" x14ac:dyDescent="0.3"/>
    <row r="4422" s="435" customFormat="1" x14ac:dyDescent="0.3"/>
    <row r="4423" s="435" customFormat="1" x14ac:dyDescent="0.3"/>
    <row r="4424" s="435" customFormat="1" x14ac:dyDescent="0.3"/>
    <row r="4425" s="435" customFormat="1" x14ac:dyDescent="0.3"/>
    <row r="4426" s="435" customFormat="1" x14ac:dyDescent="0.3"/>
    <row r="4427" s="435" customFormat="1" x14ac:dyDescent="0.3"/>
    <row r="4428" s="435" customFormat="1" x14ac:dyDescent="0.3"/>
    <row r="4429" s="435" customFormat="1" x14ac:dyDescent="0.3"/>
    <row r="4430" s="435" customFormat="1" x14ac:dyDescent="0.3"/>
    <row r="4431" s="435" customFormat="1" x14ac:dyDescent="0.3"/>
    <row r="4432" s="435" customFormat="1" x14ac:dyDescent="0.3"/>
    <row r="4433" s="435" customFormat="1" x14ac:dyDescent="0.3"/>
    <row r="4434" s="435" customFormat="1" x14ac:dyDescent="0.3"/>
    <row r="4435" s="435" customFormat="1" x14ac:dyDescent="0.3"/>
    <row r="4436" s="435" customFormat="1" x14ac:dyDescent="0.3"/>
    <row r="4437" s="435" customFormat="1" x14ac:dyDescent="0.3"/>
    <row r="4438" s="435" customFormat="1" x14ac:dyDescent="0.3"/>
    <row r="4439" s="435" customFormat="1" x14ac:dyDescent="0.3"/>
    <row r="4440" s="435" customFormat="1" x14ac:dyDescent="0.3"/>
    <row r="4441" s="435" customFormat="1" x14ac:dyDescent="0.3"/>
    <row r="4442" s="435" customFormat="1" x14ac:dyDescent="0.3"/>
    <row r="4443" s="435" customFormat="1" x14ac:dyDescent="0.3"/>
    <row r="4444" s="435" customFormat="1" x14ac:dyDescent="0.3"/>
    <row r="4445" s="435" customFormat="1" x14ac:dyDescent="0.3"/>
    <row r="4446" s="435" customFormat="1" x14ac:dyDescent="0.3"/>
    <row r="4447" s="435" customFormat="1" x14ac:dyDescent="0.3"/>
    <row r="4448" s="435" customFormat="1" x14ac:dyDescent="0.3"/>
    <row r="4449" s="435" customFormat="1" x14ac:dyDescent="0.3"/>
    <row r="4450" s="435" customFormat="1" x14ac:dyDescent="0.3"/>
    <row r="4451" s="435" customFormat="1" x14ac:dyDescent="0.3"/>
    <row r="4452" s="435" customFormat="1" x14ac:dyDescent="0.3"/>
    <row r="4453" s="435" customFormat="1" x14ac:dyDescent="0.3"/>
    <row r="4454" s="435" customFormat="1" x14ac:dyDescent="0.3"/>
    <row r="4455" s="435" customFormat="1" x14ac:dyDescent="0.3"/>
    <row r="4456" s="435" customFormat="1" x14ac:dyDescent="0.3"/>
    <row r="4457" s="435" customFormat="1" x14ac:dyDescent="0.3"/>
    <row r="4458" s="435" customFormat="1" x14ac:dyDescent="0.3"/>
    <row r="4459" s="435" customFormat="1" x14ac:dyDescent="0.3"/>
    <row r="4460" s="435" customFormat="1" x14ac:dyDescent="0.3"/>
    <row r="4461" s="435" customFormat="1" x14ac:dyDescent="0.3"/>
    <row r="4462" s="435" customFormat="1" x14ac:dyDescent="0.3"/>
    <row r="4463" s="435" customFormat="1" x14ac:dyDescent="0.3"/>
    <row r="4464" s="435" customFormat="1" x14ac:dyDescent="0.3"/>
    <row r="4465" s="435" customFormat="1" x14ac:dyDescent="0.3"/>
    <row r="4466" s="435" customFormat="1" x14ac:dyDescent="0.3"/>
    <row r="4467" s="435" customFormat="1" x14ac:dyDescent="0.3"/>
    <row r="4468" s="435" customFormat="1" x14ac:dyDescent="0.3"/>
    <row r="4469" s="435" customFormat="1" x14ac:dyDescent="0.3"/>
    <row r="4470" s="435" customFormat="1" x14ac:dyDescent="0.3"/>
    <row r="4471" s="435" customFormat="1" x14ac:dyDescent="0.3"/>
    <row r="4472" s="435" customFormat="1" x14ac:dyDescent="0.3"/>
    <row r="4473" s="435" customFormat="1" x14ac:dyDescent="0.3"/>
    <row r="4474" s="435" customFormat="1" x14ac:dyDescent="0.3"/>
    <row r="4475" s="435" customFormat="1" x14ac:dyDescent="0.3"/>
    <row r="4476" s="435" customFormat="1" x14ac:dyDescent="0.3"/>
    <row r="4477" s="435" customFormat="1" x14ac:dyDescent="0.3"/>
    <row r="4478" s="435" customFormat="1" x14ac:dyDescent="0.3"/>
    <row r="4479" s="435" customFormat="1" x14ac:dyDescent="0.3"/>
    <row r="4480" s="435" customFormat="1" x14ac:dyDescent="0.3"/>
    <row r="4481" s="435" customFormat="1" x14ac:dyDescent="0.3"/>
    <row r="4482" s="435" customFormat="1" x14ac:dyDescent="0.3"/>
    <row r="4483" s="435" customFormat="1" x14ac:dyDescent="0.3"/>
    <row r="4484" s="435" customFormat="1" x14ac:dyDescent="0.3"/>
    <row r="4485" s="435" customFormat="1" x14ac:dyDescent="0.3"/>
    <row r="4486" s="435" customFormat="1" x14ac:dyDescent="0.3"/>
    <row r="4487" s="435" customFormat="1" x14ac:dyDescent="0.3"/>
    <row r="4488" s="435" customFormat="1" x14ac:dyDescent="0.3"/>
    <row r="4489" s="435" customFormat="1" x14ac:dyDescent="0.3"/>
    <row r="4490" s="435" customFormat="1" x14ac:dyDescent="0.3"/>
    <row r="4491" s="435" customFormat="1" x14ac:dyDescent="0.3"/>
    <row r="4492" s="435" customFormat="1" x14ac:dyDescent="0.3"/>
    <row r="4493" s="435" customFormat="1" x14ac:dyDescent="0.3"/>
    <row r="4494" s="435" customFormat="1" x14ac:dyDescent="0.3"/>
    <row r="4495" s="435" customFormat="1" x14ac:dyDescent="0.3"/>
    <row r="4496" s="435" customFormat="1" x14ac:dyDescent="0.3"/>
    <row r="4497" s="435" customFormat="1" x14ac:dyDescent="0.3"/>
    <row r="4498" s="435" customFormat="1" x14ac:dyDescent="0.3"/>
    <row r="4499" s="435" customFormat="1" x14ac:dyDescent="0.3"/>
    <row r="4500" s="435" customFormat="1" x14ac:dyDescent="0.3"/>
    <row r="4501" s="435" customFormat="1" x14ac:dyDescent="0.3"/>
    <row r="4502" s="435" customFormat="1" x14ac:dyDescent="0.3"/>
    <row r="4503" s="435" customFormat="1" x14ac:dyDescent="0.3"/>
    <row r="4504" s="435" customFormat="1" x14ac:dyDescent="0.3"/>
    <row r="4505" s="435" customFormat="1" x14ac:dyDescent="0.3"/>
    <row r="4506" s="435" customFormat="1" x14ac:dyDescent="0.3"/>
    <row r="4507" s="435" customFormat="1" x14ac:dyDescent="0.3"/>
    <row r="4508" s="435" customFormat="1" x14ac:dyDescent="0.3"/>
    <row r="4509" s="435" customFormat="1" x14ac:dyDescent="0.3"/>
    <row r="4510" s="435" customFormat="1" x14ac:dyDescent="0.3"/>
    <row r="4511" s="435" customFormat="1" x14ac:dyDescent="0.3"/>
    <row r="4512" s="435" customFormat="1" x14ac:dyDescent="0.3"/>
    <row r="4513" s="435" customFormat="1" x14ac:dyDescent="0.3"/>
    <row r="4514" s="435" customFormat="1" x14ac:dyDescent="0.3"/>
    <row r="4515" s="435" customFormat="1" x14ac:dyDescent="0.3"/>
    <row r="4516" s="435" customFormat="1" x14ac:dyDescent="0.3"/>
    <row r="4517" s="435" customFormat="1" x14ac:dyDescent="0.3"/>
    <row r="4518" s="435" customFormat="1" x14ac:dyDescent="0.3"/>
    <row r="4519" s="435" customFormat="1" x14ac:dyDescent="0.3"/>
    <row r="4520" s="435" customFormat="1" x14ac:dyDescent="0.3"/>
    <row r="4521" s="435" customFormat="1" x14ac:dyDescent="0.3"/>
    <row r="4522" s="435" customFormat="1" x14ac:dyDescent="0.3"/>
    <row r="4523" s="435" customFormat="1" x14ac:dyDescent="0.3"/>
    <row r="4524" s="435" customFormat="1" x14ac:dyDescent="0.3"/>
    <row r="4525" s="435" customFormat="1" x14ac:dyDescent="0.3"/>
    <row r="4526" s="435" customFormat="1" x14ac:dyDescent="0.3"/>
    <row r="4527" s="435" customFormat="1" x14ac:dyDescent="0.3"/>
    <row r="4528" s="435" customFormat="1" x14ac:dyDescent="0.3"/>
    <row r="4529" s="435" customFormat="1" x14ac:dyDescent="0.3"/>
    <row r="4530" s="435" customFormat="1" x14ac:dyDescent="0.3"/>
    <row r="4531" s="435" customFormat="1" x14ac:dyDescent="0.3"/>
    <row r="4532" s="435" customFormat="1" x14ac:dyDescent="0.3"/>
    <row r="4533" s="435" customFormat="1" x14ac:dyDescent="0.3"/>
    <row r="4534" s="435" customFormat="1" x14ac:dyDescent="0.3"/>
    <row r="4535" s="435" customFormat="1" x14ac:dyDescent="0.3"/>
    <row r="4536" s="435" customFormat="1" x14ac:dyDescent="0.3"/>
    <row r="4537" s="435" customFormat="1" x14ac:dyDescent="0.3"/>
    <row r="4538" s="435" customFormat="1" x14ac:dyDescent="0.3"/>
    <row r="4539" s="435" customFormat="1" x14ac:dyDescent="0.3"/>
    <row r="4540" s="435" customFormat="1" x14ac:dyDescent="0.3"/>
    <row r="4541" s="435" customFormat="1" x14ac:dyDescent="0.3"/>
    <row r="4542" s="435" customFormat="1" x14ac:dyDescent="0.3"/>
    <row r="4543" s="435" customFormat="1" x14ac:dyDescent="0.3"/>
    <row r="4544" s="435" customFormat="1" x14ac:dyDescent="0.3"/>
    <row r="4545" s="435" customFormat="1" x14ac:dyDescent="0.3"/>
    <row r="4546" s="435" customFormat="1" x14ac:dyDescent="0.3"/>
    <row r="4547" s="435" customFormat="1" x14ac:dyDescent="0.3"/>
    <row r="4548" s="435" customFormat="1" x14ac:dyDescent="0.3"/>
    <row r="4549" s="435" customFormat="1" x14ac:dyDescent="0.3"/>
    <row r="4550" s="435" customFormat="1" x14ac:dyDescent="0.3"/>
    <row r="4551" s="435" customFormat="1" x14ac:dyDescent="0.3"/>
    <row r="4552" s="435" customFormat="1" x14ac:dyDescent="0.3"/>
    <row r="4553" s="435" customFormat="1" x14ac:dyDescent="0.3"/>
    <row r="4554" s="435" customFormat="1" x14ac:dyDescent="0.3"/>
    <row r="4555" s="435" customFormat="1" x14ac:dyDescent="0.3"/>
    <row r="4556" s="435" customFormat="1" x14ac:dyDescent="0.3"/>
    <row r="4557" s="435" customFormat="1" x14ac:dyDescent="0.3"/>
    <row r="4558" s="435" customFormat="1" x14ac:dyDescent="0.3"/>
    <row r="4559" s="435" customFormat="1" x14ac:dyDescent="0.3"/>
    <row r="4560" s="435" customFormat="1" x14ac:dyDescent="0.3"/>
    <row r="4561" s="435" customFormat="1" x14ac:dyDescent="0.3"/>
    <row r="4562" s="435" customFormat="1" x14ac:dyDescent="0.3"/>
    <row r="4563" s="435" customFormat="1" x14ac:dyDescent="0.3"/>
    <row r="4564" s="435" customFormat="1" x14ac:dyDescent="0.3"/>
    <row r="4565" s="435" customFormat="1" x14ac:dyDescent="0.3"/>
    <row r="4566" s="435" customFormat="1" x14ac:dyDescent="0.3"/>
    <row r="4567" s="435" customFormat="1" x14ac:dyDescent="0.3"/>
    <row r="4568" s="435" customFormat="1" x14ac:dyDescent="0.3"/>
    <row r="4569" s="435" customFormat="1" x14ac:dyDescent="0.3"/>
    <row r="4570" s="435" customFormat="1" x14ac:dyDescent="0.3"/>
    <row r="4571" s="435" customFormat="1" x14ac:dyDescent="0.3"/>
    <row r="4572" s="435" customFormat="1" x14ac:dyDescent="0.3"/>
    <row r="4573" s="435" customFormat="1" x14ac:dyDescent="0.3"/>
    <row r="4574" s="435" customFormat="1" x14ac:dyDescent="0.3"/>
    <row r="4575" s="435" customFormat="1" x14ac:dyDescent="0.3"/>
    <row r="4576" s="435" customFormat="1" x14ac:dyDescent="0.3"/>
    <row r="4577" s="435" customFormat="1" x14ac:dyDescent="0.3"/>
    <row r="4578" s="435" customFormat="1" x14ac:dyDescent="0.3"/>
    <row r="4579" s="435" customFormat="1" x14ac:dyDescent="0.3"/>
    <row r="4580" s="435" customFormat="1" x14ac:dyDescent="0.3"/>
    <row r="4581" s="435" customFormat="1" x14ac:dyDescent="0.3"/>
    <row r="4582" s="435" customFormat="1" x14ac:dyDescent="0.3"/>
    <row r="4583" s="435" customFormat="1" x14ac:dyDescent="0.3"/>
    <row r="4584" s="435" customFormat="1" x14ac:dyDescent="0.3"/>
    <row r="4585" s="435" customFormat="1" x14ac:dyDescent="0.3"/>
    <row r="4586" s="435" customFormat="1" x14ac:dyDescent="0.3"/>
    <row r="4587" s="435" customFormat="1" x14ac:dyDescent="0.3"/>
    <row r="4588" s="435" customFormat="1" x14ac:dyDescent="0.3"/>
    <row r="4589" s="435" customFormat="1" x14ac:dyDescent="0.3"/>
    <row r="4590" s="435" customFormat="1" x14ac:dyDescent="0.3"/>
    <row r="4591" s="435" customFormat="1" x14ac:dyDescent="0.3"/>
    <row r="4592" s="435" customFormat="1" x14ac:dyDescent="0.3"/>
    <row r="4593" s="435" customFormat="1" x14ac:dyDescent="0.3"/>
    <row r="4594" s="435" customFormat="1" x14ac:dyDescent="0.3"/>
    <row r="4595" s="435" customFormat="1" x14ac:dyDescent="0.3"/>
    <row r="4596" s="435" customFormat="1" x14ac:dyDescent="0.3"/>
    <row r="4597" s="435" customFormat="1" x14ac:dyDescent="0.3"/>
    <row r="4598" s="435" customFormat="1" x14ac:dyDescent="0.3"/>
    <row r="4599" s="435" customFormat="1" x14ac:dyDescent="0.3"/>
    <row r="4600" s="435" customFormat="1" x14ac:dyDescent="0.3"/>
    <row r="4601" s="435" customFormat="1" x14ac:dyDescent="0.3"/>
    <row r="4602" s="435" customFormat="1" x14ac:dyDescent="0.3"/>
    <row r="4603" s="435" customFormat="1" x14ac:dyDescent="0.3"/>
    <row r="4604" s="435" customFormat="1" x14ac:dyDescent="0.3"/>
    <row r="4605" s="435" customFormat="1" x14ac:dyDescent="0.3"/>
    <row r="4606" s="435" customFormat="1" x14ac:dyDescent="0.3"/>
    <row r="4607" s="435" customFormat="1" x14ac:dyDescent="0.3"/>
    <row r="4608" s="435" customFormat="1" x14ac:dyDescent="0.3"/>
    <row r="4609" s="435" customFormat="1" x14ac:dyDescent="0.3"/>
    <row r="4610" s="435" customFormat="1" x14ac:dyDescent="0.3"/>
    <row r="4611" s="435" customFormat="1" x14ac:dyDescent="0.3"/>
    <row r="4612" s="435" customFormat="1" x14ac:dyDescent="0.3"/>
    <row r="4613" s="435" customFormat="1" x14ac:dyDescent="0.3"/>
    <row r="4614" s="435" customFormat="1" x14ac:dyDescent="0.3"/>
    <row r="4615" s="435" customFormat="1" x14ac:dyDescent="0.3"/>
    <row r="4616" s="435" customFormat="1" x14ac:dyDescent="0.3"/>
    <row r="4617" s="435" customFormat="1" x14ac:dyDescent="0.3"/>
    <row r="4618" s="435" customFormat="1" x14ac:dyDescent="0.3"/>
    <row r="4619" s="435" customFormat="1" x14ac:dyDescent="0.3"/>
    <row r="4620" s="435" customFormat="1" x14ac:dyDescent="0.3"/>
    <row r="4621" s="435" customFormat="1" x14ac:dyDescent="0.3"/>
    <row r="4622" s="435" customFormat="1" x14ac:dyDescent="0.3"/>
    <row r="4623" s="435" customFormat="1" x14ac:dyDescent="0.3"/>
    <row r="4624" s="435" customFormat="1" x14ac:dyDescent="0.3"/>
    <row r="4625" s="435" customFormat="1" x14ac:dyDescent="0.3"/>
    <row r="4626" s="435" customFormat="1" x14ac:dyDescent="0.3"/>
    <row r="4627" s="435" customFormat="1" x14ac:dyDescent="0.3"/>
    <row r="4628" s="435" customFormat="1" x14ac:dyDescent="0.3"/>
    <row r="4629" s="435" customFormat="1" x14ac:dyDescent="0.3"/>
    <row r="4630" s="435" customFormat="1" x14ac:dyDescent="0.3"/>
    <row r="4631" s="435" customFormat="1" x14ac:dyDescent="0.3"/>
    <row r="4632" s="435" customFormat="1" x14ac:dyDescent="0.3"/>
    <row r="4633" s="435" customFormat="1" x14ac:dyDescent="0.3"/>
    <row r="4634" s="435" customFormat="1" x14ac:dyDescent="0.3"/>
    <row r="4635" s="435" customFormat="1" x14ac:dyDescent="0.3"/>
    <row r="4636" s="435" customFormat="1" x14ac:dyDescent="0.3"/>
    <row r="4637" s="435" customFormat="1" x14ac:dyDescent="0.3"/>
    <row r="4638" s="435" customFormat="1" x14ac:dyDescent="0.3"/>
    <row r="4639" s="435" customFormat="1" x14ac:dyDescent="0.3"/>
    <row r="4640" s="435" customFormat="1" x14ac:dyDescent="0.3"/>
    <row r="4641" s="435" customFormat="1" x14ac:dyDescent="0.3"/>
    <row r="4642" s="435" customFormat="1" x14ac:dyDescent="0.3"/>
    <row r="4643" s="435" customFormat="1" x14ac:dyDescent="0.3"/>
    <row r="4644" s="435" customFormat="1" x14ac:dyDescent="0.3"/>
    <row r="4645" s="435" customFormat="1" x14ac:dyDescent="0.3"/>
    <row r="4646" s="435" customFormat="1" x14ac:dyDescent="0.3"/>
    <row r="4647" s="435" customFormat="1" x14ac:dyDescent="0.3"/>
    <row r="4648" s="435" customFormat="1" x14ac:dyDescent="0.3"/>
    <row r="4649" s="435" customFormat="1" x14ac:dyDescent="0.3"/>
    <row r="4650" s="435" customFormat="1" x14ac:dyDescent="0.3"/>
    <row r="4651" s="435" customFormat="1" x14ac:dyDescent="0.3"/>
    <row r="4652" s="435" customFormat="1" x14ac:dyDescent="0.3"/>
    <row r="4653" s="435" customFormat="1" x14ac:dyDescent="0.3"/>
    <row r="4654" s="435" customFormat="1" x14ac:dyDescent="0.3"/>
    <row r="4655" s="435" customFormat="1" x14ac:dyDescent="0.3"/>
    <row r="4656" s="435" customFormat="1" x14ac:dyDescent="0.3"/>
    <row r="4657" s="435" customFormat="1" x14ac:dyDescent="0.3"/>
    <row r="4658" s="435" customFormat="1" x14ac:dyDescent="0.3"/>
    <row r="4659" s="435" customFormat="1" x14ac:dyDescent="0.3"/>
    <row r="4660" s="435" customFormat="1" x14ac:dyDescent="0.3"/>
    <row r="4661" s="435" customFormat="1" x14ac:dyDescent="0.3"/>
    <row r="4662" s="435" customFormat="1" x14ac:dyDescent="0.3"/>
    <row r="4663" s="435" customFormat="1" x14ac:dyDescent="0.3"/>
    <row r="4664" s="435" customFormat="1" x14ac:dyDescent="0.3"/>
    <row r="4665" s="435" customFormat="1" x14ac:dyDescent="0.3"/>
    <row r="4666" s="435" customFormat="1" x14ac:dyDescent="0.3"/>
    <row r="4667" s="435" customFormat="1" x14ac:dyDescent="0.3"/>
    <row r="4668" s="435" customFormat="1" x14ac:dyDescent="0.3"/>
    <row r="4669" s="435" customFormat="1" x14ac:dyDescent="0.3"/>
    <row r="4670" s="435" customFormat="1" x14ac:dyDescent="0.3"/>
    <row r="4671" s="435" customFormat="1" x14ac:dyDescent="0.3"/>
    <row r="4672" s="435" customFormat="1" x14ac:dyDescent="0.3"/>
    <row r="4673" s="435" customFormat="1" x14ac:dyDescent="0.3"/>
    <row r="4674" s="435" customFormat="1" x14ac:dyDescent="0.3"/>
    <row r="4675" s="435" customFormat="1" x14ac:dyDescent="0.3"/>
    <row r="4676" s="435" customFormat="1" x14ac:dyDescent="0.3"/>
    <row r="4677" s="435" customFormat="1" x14ac:dyDescent="0.3"/>
    <row r="4678" s="435" customFormat="1" x14ac:dyDescent="0.3"/>
    <row r="4679" s="435" customFormat="1" x14ac:dyDescent="0.3"/>
    <row r="4680" s="435" customFormat="1" x14ac:dyDescent="0.3"/>
    <row r="4681" s="435" customFormat="1" x14ac:dyDescent="0.3"/>
    <row r="4682" s="435" customFormat="1" x14ac:dyDescent="0.3"/>
    <row r="4683" s="435" customFormat="1" x14ac:dyDescent="0.3"/>
    <row r="4684" s="435" customFormat="1" x14ac:dyDescent="0.3"/>
    <row r="4685" s="435" customFormat="1" x14ac:dyDescent="0.3"/>
    <row r="4686" s="435" customFormat="1" x14ac:dyDescent="0.3"/>
    <row r="4687" s="435" customFormat="1" x14ac:dyDescent="0.3"/>
    <row r="4688" s="435" customFormat="1" x14ac:dyDescent="0.3"/>
    <row r="4689" s="435" customFormat="1" x14ac:dyDescent="0.3"/>
    <row r="4690" s="435" customFormat="1" x14ac:dyDescent="0.3"/>
    <row r="4691" s="435" customFormat="1" x14ac:dyDescent="0.3"/>
    <row r="4692" s="435" customFormat="1" x14ac:dyDescent="0.3"/>
    <row r="4693" s="435" customFormat="1" x14ac:dyDescent="0.3"/>
    <row r="4694" s="435" customFormat="1" x14ac:dyDescent="0.3"/>
    <row r="4695" s="435" customFormat="1" x14ac:dyDescent="0.3"/>
    <row r="4696" s="435" customFormat="1" x14ac:dyDescent="0.3"/>
    <row r="4697" s="435" customFormat="1" x14ac:dyDescent="0.3"/>
    <row r="4698" s="435" customFormat="1" x14ac:dyDescent="0.3"/>
    <row r="4699" s="435" customFormat="1" x14ac:dyDescent="0.3"/>
    <row r="4700" s="435" customFormat="1" x14ac:dyDescent="0.3"/>
    <row r="4701" s="435" customFormat="1" x14ac:dyDescent="0.3"/>
    <row r="4702" s="435" customFormat="1" x14ac:dyDescent="0.3"/>
    <row r="4703" s="435" customFormat="1" x14ac:dyDescent="0.3"/>
    <row r="4704" s="435" customFormat="1" x14ac:dyDescent="0.3"/>
    <row r="4705" s="435" customFormat="1" x14ac:dyDescent="0.3"/>
    <row r="4706" s="435" customFormat="1" x14ac:dyDescent="0.3"/>
    <row r="4707" s="435" customFormat="1" x14ac:dyDescent="0.3"/>
    <row r="4708" s="435" customFormat="1" x14ac:dyDescent="0.3"/>
    <row r="4709" s="435" customFormat="1" x14ac:dyDescent="0.3"/>
    <row r="4710" s="435" customFormat="1" x14ac:dyDescent="0.3"/>
    <row r="4711" s="435" customFormat="1" x14ac:dyDescent="0.3"/>
    <row r="4712" s="435" customFormat="1" x14ac:dyDescent="0.3"/>
    <row r="4713" s="435" customFormat="1" x14ac:dyDescent="0.3"/>
    <row r="4714" s="435" customFormat="1" x14ac:dyDescent="0.3"/>
    <row r="4715" s="435" customFormat="1" x14ac:dyDescent="0.3"/>
    <row r="4716" s="435" customFormat="1" x14ac:dyDescent="0.3"/>
    <row r="4717" s="435" customFormat="1" x14ac:dyDescent="0.3"/>
    <row r="4718" s="435" customFormat="1" x14ac:dyDescent="0.3"/>
    <row r="4719" s="435" customFormat="1" x14ac:dyDescent="0.3"/>
    <row r="4720" s="435" customFormat="1" x14ac:dyDescent="0.3"/>
    <row r="4721" s="435" customFormat="1" x14ac:dyDescent="0.3"/>
    <row r="4722" s="435" customFormat="1" x14ac:dyDescent="0.3"/>
    <row r="4723" s="435" customFormat="1" x14ac:dyDescent="0.3"/>
    <row r="4724" s="435" customFormat="1" x14ac:dyDescent="0.3"/>
    <row r="4725" s="435" customFormat="1" x14ac:dyDescent="0.3"/>
    <row r="4726" s="435" customFormat="1" x14ac:dyDescent="0.3"/>
    <row r="4727" s="435" customFormat="1" x14ac:dyDescent="0.3"/>
    <row r="4728" s="435" customFormat="1" x14ac:dyDescent="0.3"/>
    <row r="4729" s="435" customFormat="1" x14ac:dyDescent="0.3"/>
    <row r="4730" s="435" customFormat="1" x14ac:dyDescent="0.3"/>
    <row r="4731" s="435" customFormat="1" x14ac:dyDescent="0.3"/>
    <row r="4732" s="435" customFormat="1" x14ac:dyDescent="0.3"/>
    <row r="4733" s="435" customFormat="1" x14ac:dyDescent="0.3"/>
    <row r="4734" s="435" customFormat="1" x14ac:dyDescent="0.3"/>
    <row r="4735" s="435" customFormat="1" x14ac:dyDescent="0.3"/>
    <row r="4736" s="435" customFormat="1" x14ac:dyDescent="0.3"/>
    <row r="4737" s="435" customFormat="1" x14ac:dyDescent="0.3"/>
    <row r="4738" s="435" customFormat="1" x14ac:dyDescent="0.3"/>
    <row r="4739" s="435" customFormat="1" x14ac:dyDescent="0.3"/>
    <row r="4740" s="435" customFormat="1" x14ac:dyDescent="0.3"/>
    <row r="4741" s="435" customFormat="1" x14ac:dyDescent="0.3"/>
    <row r="4742" s="435" customFormat="1" x14ac:dyDescent="0.3"/>
    <row r="4743" s="435" customFormat="1" x14ac:dyDescent="0.3"/>
    <row r="4744" s="435" customFormat="1" x14ac:dyDescent="0.3"/>
    <row r="4745" s="435" customFormat="1" x14ac:dyDescent="0.3"/>
    <row r="4746" s="435" customFormat="1" x14ac:dyDescent="0.3"/>
    <row r="4747" s="435" customFormat="1" x14ac:dyDescent="0.3"/>
    <row r="4748" s="435" customFormat="1" x14ac:dyDescent="0.3"/>
    <row r="4749" s="435" customFormat="1" x14ac:dyDescent="0.3"/>
    <row r="4750" s="435" customFormat="1" x14ac:dyDescent="0.3"/>
    <row r="4751" s="435" customFormat="1" x14ac:dyDescent="0.3"/>
    <row r="4752" s="435" customFormat="1" x14ac:dyDescent="0.3"/>
    <row r="4753" s="435" customFormat="1" x14ac:dyDescent="0.3"/>
    <row r="4754" s="435" customFormat="1" x14ac:dyDescent="0.3"/>
    <row r="4755" s="435" customFormat="1" x14ac:dyDescent="0.3"/>
    <row r="4756" s="435" customFormat="1" x14ac:dyDescent="0.3"/>
    <row r="4757" s="435" customFormat="1" x14ac:dyDescent="0.3"/>
    <row r="4758" s="435" customFormat="1" x14ac:dyDescent="0.3"/>
    <row r="4759" s="435" customFormat="1" x14ac:dyDescent="0.3"/>
    <row r="4760" s="435" customFormat="1" x14ac:dyDescent="0.3"/>
    <row r="4761" s="435" customFormat="1" x14ac:dyDescent="0.3"/>
    <row r="4762" s="435" customFormat="1" x14ac:dyDescent="0.3"/>
    <row r="4763" s="435" customFormat="1" x14ac:dyDescent="0.3"/>
    <row r="4764" s="435" customFormat="1" x14ac:dyDescent="0.3"/>
    <row r="4765" s="435" customFormat="1" x14ac:dyDescent="0.3"/>
    <row r="4766" s="435" customFormat="1" x14ac:dyDescent="0.3"/>
    <row r="4767" s="435" customFormat="1" x14ac:dyDescent="0.3"/>
    <row r="4768" s="435" customFormat="1" x14ac:dyDescent="0.3"/>
    <row r="4769" s="435" customFormat="1" x14ac:dyDescent="0.3"/>
    <row r="4770" s="435" customFormat="1" x14ac:dyDescent="0.3"/>
    <row r="4771" s="435" customFormat="1" x14ac:dyDescent="0.3"/>
    <row r="4772" s="435" customFormat="1" x14ac:dyDescent="0.3"/>
    <row r="4773" s="435" customFormat="1" x14ac:dyDescent="0.3"/>
    <row r="4774" s="435" customFormat="1" x14ac:dyDescent="0.3"/>
    <row r="4775" s="435" customFormat="1" x14ac:dyDescent="0.3"/>
    <row r="4776" s="435" customFormat="1" x14ac:dyDescent="0.3"/>
    <row r="4777" s="435" customFormat="1" x14ac:dyDescent="0.3"/>
    <row r="4778" s="435" customFormat="1" x14ac:dyDescent="0.3"/>
    <row r="4779" s="435" customFormat="1" x14ac:dyDescent="0.3"/>
    <row r="4780" s="435" customFormat="1" x14ac:dyDescent="0.3"/>
    <row r="4781" s="435" customFormat="1" x14ac:dyDescent="0.3"/>
    <row r="4782" s="435" customFormat="1" x14ac:dyDescent="0.3"/>
    <row r="4783" s="435" customFormat="1" x14ac:dyDescent="0.3"/>
    <row r="4784" s="435" customFormat="1" x14ac:dyDescent="0.3"/>
    <row r="4785" s="435" customFormat="1" x14ac:dyDescent="0.3"/>
    <row r="4786" s="435" customFormat="1" x14ac:dyDescent="0.3"/>
    <row r="4787" s="435" customFormat="1" x14ac:dyDescent="0.3"/>
    <row r="4788" s="435" customFormat="1" x14ac:dyDescent="0.3"/>
    <row r="4789" s="435" customFormat="1" x14ac:dyDescent="0.3"/>
    <row r="4790" s="435" customFormat="1" x14ac:dyDescent="0.3"/>
    <row r="4791" s="435" customFormat="1" x14ac:dyDescent="0.3"/>
    <row r="4792" s="435" customFormat="1" x14ac:dyDescent="0.3"/>
    <row r="4793" s="435" customFormat="1" x14ac:dyDescent="0.3"/>
    <row r="4794" s="435" customFormat="1" x14ac:dyDescent="0.3"/>
    <row r="4795" s="435" customFormat="1" x14ac:dyDescent="0.3"/>
    <row r="4796" s="435" customFormat="1" x14ac:dyDescent="0.3"/>
    <row r="4797" s="435" customFormat="1" x14ac:dyDescent="0.3"/>
    <row r="4798" s="435" customFormat="1" x14ac:dyDescent="0.3"/>
    <row r="4799" s="435" customFormat="1" x14ac:dyDescent="0.3"/>
    <row r="4800" s="435" customFormat="1" x14ac:dyDescent="0.3"/>
    <row r="4801" s="435" customFormat="1" x14ac:dyDescent="0.3"/>
    <row r="4802" s="435" customFormat="1" x14ac:dyDescent="0.3"/>
    <row r="4803" s="435" customFormat="1" x14ac:dyDescent="0.3"/>
    <row r="4804" s="435" customFormat="1" x14ac:dyDescent="0.3"/>
    <row r="4805" s="435" customFormat="1" x14ac:dyDescent="0.3"/>
    <row r="4806" s="435" customFormat="1" x14ac:dyDescent="0.3"/>
    <row r="4807" s="435" customFormat="1" x14ac:dyDescent="0.3"/>
    <row r="4808" s="435" customFormat="1" x14ac:dyDescent="0.3"/>
    <row r="4809" s="435" customFormat="1" x14ac:dyDescent="0.3"/>
    <row r="4810" s="435" customFormat="1" x14ac:dyDescent="0.3"/>
    <row r="4811" s="435" customFormat="1" x14ac:dyDescent="0.3"/>
    <row r="4812" s="435" customFormat="1" x14ac:dyDescent="0.3"/>
    <row r="4813" s="435" customFormat="1" x14ac:dyDescent="0.3"/>
    <row r="4814" s="435" customFormat="1" x14ac:dyDescent="0.3"/>
    <row r="4815" s="435" customFormat="1" x14ac:dyDescent="0.3"/>
    <row r="4816" s="435" customFormat="1" x14ac:dyDescent="0.3"/>
    <row r="4817" s="435" customFormat="1" x14ac:dyDescent="0.3"/>
    <row r="4818" s="435" customFormat="1" x14ac:dyDescent="0.3"/>
    <row r="4819" s="435" customFormat="1" x14ac:dyDescent="0.3"/>
    <row r="4820" s="435" customFormat="1" x14ac:dyDescent="0.3"/>
    <row r="4821" s="435" customFormat="1" x14ac:dyDescent="0.3"/>
    <row r="4822" s="435" customFormat="1" x14ac:dyDescent="0.3"/>
    <row r="4823" s="435" customFormat="1" x14ac:dyDescent="0.3"/>
    <row r="4824" s="435" customFormat="1" x14ac:dyDescent="0.3"/>
    <row r="4825" s="435" customFormat="1" x14ac:dyDescent="0.3"/>
    <row r="4826" s="435" customFormat="1" x14ac:dyDescent="0.3"/>
    <row r="4827" s="435" customFormat="1" x14ac:dyDescent="0.3"/>
    <row r="4828" s="435" customFormat="1" x14ac:dyDescent="0.3"/>
    <row r="4829" s="435" customFormat="1" x14ac:dyDescent="0.3"/>
    <row r="4830" s="435" customFormat="1" x14ac:dyDescent="0.3"/>
    <row r="4831" s="435" customFormat="1" x14ac:dyDescent="0.3"/>
    <row r="4832" s="435" customFormat="1" x14ac:dyDescent="0.3"/>
    <row r="4833" s="435" customFormat="1" x14ac:dyDescent="0.3"/>
    <row r="4834" s="435" customFormat="1" x14ac:dyDescent="0.3"/>
    <row r="4835" s="435" customFormat="1" x14ac:dyDescent="0.3"/>
    <row r="4836" s="435" customFormat="1" x14ac:dyDescent="0.3"/>
    <row r="4837" s="435" customFormat="1" x14ac:dyDescent="0.3"/>
    <row r="4838" s="435" customFormat="1" x14ac:dyDescent="0.3"/>
    <row r="4839" s="435" customFormat="1" x14ac:dyDescent="0.3"/>
    <row r="4840" s="435" customFormat="1" x14ac:dyDescent="0.3"/>
    <row r="4841" s="435" customFormat="1" x14ac:dyDescent="0.3"/>
    <row r="4842" s="435" customFormat="1" x14ac:dyDescent="0.3"/>
    <row r="4843" s="435" customFormat="1" x14ac:dyDescent="0.3"/>
    <row r="4844" s="435" customFormat="1" x14ac:dyDescent="0.3"/>
    <row r="4845" s="435" customFormat="1" x14ac:dyDescent="0.3"/>
    <row r="4846" s="435" customFormat="1" x14ac:dyDescent="0.3"/>
    <row r="4847" s="435" customFormat="1" x14ac:dyDescent="0.3"/>
    <row r="4848" s="435" customFormat="1" x14ac:dyDescent="0.3"/>
    <row r="4849" s="435" customFormat="1" x14ac:dyDescent="0.3"/>
    <row r="4850" s="435" customFormat="1" x14ac:dyDescent="0.3"/>
    <row r="4851" s="435" customFormat="1" x14ac:dyDescent="0.3"/>
    <row r="4852" s="435" customFormat="1" x14ac:dyDescent="0.3"/>
    <row r="4853" s="435" customFormat="1" x14ac:dyDescent="0.3"/>
    <row r="4854" s="435" customFormat="1" x14ac:dyDescent="0.3"/>
    <row r="4855" s="435" customFormat="1" x14ac:dyDescent="0.3"/>
    <row r="4856" s="435" customFormat="1" x14ac:dyDescent="0.3"/>
    <row r="4857" s="435" customFormat="1" x14ac:dyDescent="0.3"/>
    <row r="4858" s="435" customFormat="1" x14ac:dyDescent="0.3"/>
    <row r="4859" s="435" customFormat="1" x14ac:dyDescent="0.3"/>
    <row r="4860" s="435" customFormat="1" x14ac:dyDescent="0.3"/>
    <row r="4861" s="435" customFormat="1" x14ac:dyDescent="0.3"/>
    <row r="4862" s="435" customFormat="1" x14ac:dyDescent="0.3"/>
    <row r="4863" s="435" customFormat="1" x14ac:dyDescent="0.3"/>
    <row r="4864" s="435" customFormat="1" x14ac:dyDescent="0.3"/>
    <row r="4865" s="435" customFormat="1" x14ac:dyDescent="0.3"/>
    <row r="4866" s="435" customFormat="1" x14ac:dyDescent="0.3"/>
    <row r="4867" s="435" customFormat="1" x14ac:dyDescent="0.3"/>
    <row r="4868" s="435" customFormat="1" x14ac:dyDescent="0.3"/>
    <row r="4869" s="435" customFormat="1" x14ac:dyDescent="0.3"/>
    <row r="4870" s="435" customFormat="1" x14ac:dyDescent="0.3"/>
    <row r="4871" s="435" customFormat="1" x14ac:dyDescent="0.3"/>
    <row r="4872" s="435" customFormat="1" x14ac:dyDescent="0.3"/>
    <row r="4873" s="435" customFormat="1" x14ac:dyDescent="0.3"/>
    <row r="4874" s="435" customFormat="1" x14ac:dyDescent="0.3"/>
    <row r="4875" s="435" customFormat="1" x14ac:dyDescent="0.3"/>
    <row r="4876" s="435" customFormat="1" x14ac:dyDescent="0.3"/>
    <row r="4877" s="435" customFormat="1" x14ac:dyDescent="0.3"/>
    <row r="4878" s="435" customFormat="1" x14ac:dyDescent="0.3"/>
    <row r="4879" s="435" customFormat="1" x14ac:dyDescent="0.3"/>
    <row r="4880" s="435" customFormat="1" x14ac:dyDescent="0.3"/>
    <row r="4881" s="435" customFormat="1" x14ac:dyDescent="0.3"/>
    <row r="4882" s="435" customFormat="1" x14ac:dyDescent="0.3"/>
    <row r="4883" s="435" customFormat="1" x14ac:dyDescent="0.3"/>
    <row r="4884" s="435" customFormat="1" x14ac:dyDescent="0.3"/>
    <row r="4885" s="435" customFormat="1" x14ac:dyDescent="0.3"/>
    <row r="4886" s="435" customFormat="1" x14ac:dyDescent="0.3"/>
    <row r="4887" s="435" customFormat="1" x14ac:dyDescent="0.3"/>
    <row r="4888" s="435" customFormat="1" x14ac:dyDescent="0.3"/>
    <row r="4889" s="435" customFormat="1" x14ac:dyDescent="0.3"/>
    <row r="4890" s="435" customFormat="1" x14ac:dyDescent="0.3"/>
    <row r="4891" s="435" customFormat="1" x14ac:dyDescent="0.3"/>
    <row r="4892" s="435" customFormat="1" x14ac:dyDescent="0.3"/>
  </sheetData>
  <dataConsolidate/>
  <mergeCells count="51">
    <mergeCell ref="P20:R21"/>
    <mergeCell ref="K55:L55"/>
    <mergeCell ref="O25:T28"/>
    <mergeCell ref="O24:T24"/>
    <mergeCell ref="J18:T19"/>
    <mergeCell ref="H38:K38"/>
    <mergeCell ref="G41:G42"/>
    <mergeCell ref="K42:L42"/>
    <mergeCell ref="C36:T36"/>
    <mergeCell ref="K56:L56"/>
    <mergeCell ref="K49:L49"/>
    <mergeCell ref="K50:L50"/>
    <mergeCell ref="K51:L51"/>
    <mergeCell ref="I41:L41"/>
    <mergeCell ref="K52:L52"/>
    <mergeCell ref="K45:L45"/>
    <mergeCell ref="K43:L43"/>
    <mergeCell ref="K47:L47"/>
    <mergeCell ref="K48:L48"/>
    <mergeCell ref="K53:L53"/>
    <mergeCell ref="L38:M38"/>
    <mergeCell ref="D60:H69"/>
    <mergeCell ref="AO42:AR42"/>
    <mergeCell ref="O47:T47"/>
    <mergeCell ref="K54:L54"/>
    <mergeCell ref="K57:L57"/>
    <mergeCell ref="O48:T50"/>
    <mergeCell ref="F41:F42"/>
    <mergeCell ref="K46:L46"/>
    <mergeCell ref="O51:T51"/>
    <mergeCell ref="O52:T54"/>
    <mergeCell ref="N45:T46"/>
    <mergeCell ref="H41:H42"/>
    <mergeCell ref="P43:R44"/>
    <mergeCell ref="D41:D42"/>
    <mergeCell ref="E41:E42"/>
    <mergeCell ref="K44:L44"/>
    <mergeCell ref="X2:Y2"/>
    <mergeCell ref="F18:F19"/>
    <mergeCell ref="G18:H18"/>
    <mergeCell ref="B6:T9"/>
    <mergeCell ref="X3:Y3"/>
    <mergeCell ref="K11:L11"/>
    <mergeCell ref="H15:K15"/>
    <mergeCell ref="B4:T4"/>
    <mergeCell ref="C13:T13"/>
    <mergeCell ref="F11:J11"/>
    <mergeCell ref="D18:D19"/>
    <mergeCell ref="E18:E19"/>
    <mergeCell ref="L15:M15"/>
    <mergeCell ref="A1:T2"/>
  </mergeCells>
  <phoneticPr fontId="73" type="noConversion"/>
  <conditionalFormatting sqref="S21">
    <cfRule type="expression" dxfId="17" priority="4" stopIfTrue="1">
      <formula>$S$21="ERROR"</formula>
    </cfRule>
  </conditionalFormatting>
  <conditionalFormatting sqref="L15">
    <cfRule type="expression" dxfId="16" priority="3" stopIfTrue="1">
      <formula>$L$15="ERROR"</formula>
    </cfRule>
  </conditionalFormatting>
  <conditionalFormatting sqref="S44">
    <cfRule type="expression" dxfId="15" priority="2" stopIfTrue="1">
      <formula>$S$44="ERROR"</formula>
    </cfRule>
  </conditionalFormatting>
  <conditionalFormatting sqref="L38">
    <cfRule type="expression" dxfId="14" priority="1" stopIfTrue="1">
      <formula>$L$38="ERROR"</formula>
    </cfRule>
  </conditionalFormatting>
  <dataValidations disablePrompts="1" count="7">
    <dataValidation type="decimal" operator="greaterThan" allowBlank="1" showInputMessage="1" showErrorMessage="1" sqref="F23:F34" xr:uid="{00000000-0002-0000-0200-000000000000}">
      <formula1>0</formula1>
    </dataValidation>
    <dataValidation operator="greaterThanOrEqual" allowBlank="1" showInputMessage="1" showErrorMessage="1" error="Revise la superficie considerada." sqref="L15 L38" xr:uid="{00000000-0002-0000-0200-000001000000}"/>
    <dataValidation type="list" operator="equal" allowBlank="1" showInputMessage="1" showErrorMessage="1" error="El año de plantación ha de ser uno de los indicados en la pestaña &quot;Datos generales del proyecto&quot;." sqref="E23:E34" xr:uid="{00000000-0002-0000-0200-000002000000}">
      <formula1>$AM$2:$AM$6</formula1>
    </dataValidation>
    <dataValidation type="list" operator="equal" allowBlank="1" showInputMessage="1" showErrorMessage="1" error="El año de plantación ha de uno de los indicados en &quot;Datos generales del proyecto&quot;." sqref="E43:E57 E21:E22" xr:uid="{00000000-0002-0000-0200-000003000000}">
      <formula1>$AM$2:$AM$6</formula1>
    </dataValidation>
    <dataValidation type="whole" allowBlank="1" showInputMessage="1" showErrorMessage="1" error="El turno de corta ha de ser inferior al periodo de permanencia considerado e igual o superior a 8 años." sqref="F43:F57" xr:uid="{00000000-0002-0000-0200-000004000000}">
      <formula1>8</formula1>
      <formula2>$E$38</formula2>
    </dataValidation>
    <dataValidation type="list" operator="equal" allowBlank="1" showInputMessage="1" showErrorMessage="1" error="El año de plantación ha de ser uno de los indicados en &quot;Datos generales del proyecto&quot;." sqref="E20" xr:uid="{00000000-0002-0000-0200-000005000000}">
      <formula1>$AM$2:$AM$6</formula1>
    </dataValidation>
    <dataValidation type="list" allowBlank="1" showInputMessage="1" showErrorMessage="1" sqref="D43:D57 D20:D35" xr:uid="{00000000-0002-0000-0200-000006000000}">
      <formula1>$X$5:$X$94</formula1>
    </dataValidation>
  </dataValidations>
  <pageMargins left="0.7" right="0.7" top="0.75" bottom="0.75" header="0.3" footer="0.3"/>
  <pageSetup paperSize="9" orientation="landscape" r:id="rId1"/>
  <ignoredErrors>
    <ignoredError sqref="J43:J57"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7">
    <pageSetUpPr fitToPage="1"/>
  </sheetPr>
  <dimension ref="A1:ABU4108"/>
  <sheetViews>
    <sheetView showRowColHeaders="0" topLeftCell="A7" zoomScaleNormal="100" workbookViewId="0">
      <selection activeCell="N76" sqref="N76"/>
    </sheetView>
  </sheetViews>
  <sheetFormatPr baseColWidth="10" defaultColWidth="11.42578125" defaultRowHeight="16.5" x14ac:dyDescent="0.3"/>
  <cols>
    <col min="1" max="1" width="2.140625" style="303" customWidth="1"/>
    <col min="2" max="2" width="3.28515625" style="303" customWidth="1"/>
    <col min="3" max="3" width="3.7109375" style="303" customWidth="1"/>
    <col min="4" max="4" width="0.28515625" style="303" customWidth="1"/>
    <col min="5" max="5" width="5.85546875" style="303" customWidth="1"/>
    <col min="6" max="6" width="0.28515625" style="303" customWidth="1"/>
    <col min="7" max="7" width="10" style="303" customWidth="1"/>
    <col min="8" max="8" width="1.28515625" style="303" customWidth="1"/>
    <col min="9" max="9" width="10" style="303" customWidth="1"/>
    <col min="10" max="10" width="21" style="303" customWidth="1"/>
    <col min="11" max="11" width="10" style="303" customWidth="1"/>
    <col min="12" max="12" width="5.7109375" style="303" customWidth="1"/>
    <col min="13" max="13" width="14.140625" style="303" customWidth="1"/>
    <col min="14" max="14" width="10.42578125" style="303" customWidth="1"/>
    <col min="15" max="15" width="14.28515625" style="303" customWidth="1"/>
    <col min="16" max="16" width="5.85546875" style="303" customWidth="1"/>
    <col min="17" max="17" width="14.28515625" style="303" customWidth="1"/>
    <col min="18" max="18" width="1.42578125" style="303" customWidth="1"/>
    <col min="19" max="19" width="14.28515625" style="303" customWidth="1"/>
    <col min="20" max="20" width="1.42578125" style="303" customWidth="1"/>
    <col min="21" max="21" width="14.28515625" style="303" customWidth="1"/>
    <col min="22" max="22" width="8.28515625" style="303" customWidth="1"/>
    <col min="23" max="23" width="9.140625" style="303" bestFit="1" customWidth="1"/>
    <col min="24" max="24" width="7.5703125" style="303" customWidth="1"/>
    <col min="25" max="25" width="3" style="303" bestFit="1" customWidth="1"/>
    <col min="26" max="26" width="4.5703125" style="303" customWidth="1"/>
    <col min="27" max="27" width="5.5703125" style="303" customWidth="1"/>
    <col min="28" max="28" width="2.85546875" style="303" customWidth="1"/>
    <col min="29" max="29" width="21.5703125" style="303" customWidth="1"/>
    <col min="30" max="30" width="4.5703125" style="303" customWidth="1"/>
    <col min="31" max="36" width="0" style="303" hidden="1" customWidth="1"/>
    <col min="37" max="37" width="12" style="303" hidden="1" customWidth="1"/>
    <col min="38" max="43" width="0" style="303" hidden="1" customWidth="1"/>
    <col min="44" max="44" width="12.28515625" style="303" hidden="1" customWidth="1"/>
    <col min="45" max="47" width="0" style="303" hidden="1" customWidth="1"/>
    <col min="48" max="749" width="11.42578125" style="430"/>
    <col min="750" max="16384" width="11.42578125" style="303"/>
  </cols>
  <sheetData>
    <row r="1" spans="1:47" s="429" customFormat="1" ht="16.5" customHeight="1" x14ac:dyDescent="0.3">
      <c r="A1" s="562" t="s">
        <v>631</v>
      </c>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11"/>
    </row>
    <row r="2" spans="1:47" s="429" customFormat="1" ht="30" customHeight="1" x14ac:dyDescent="0.3">
      <c r="A2" s="562"/>
      <c r="B2" s="562"/>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11"/>
    </row>
    <row r="3" spans="1:47" s="430" customFormat="1" x14ac:dyDescent="0.3"/>
    <row r="4" spans="1:47" s="429" customFormat="1" ht="18.75" customHeight="1" x14ac:dyDescent="0.3">
      <c r="B4" s="679" t="s">
        <v>305</v>
      </c>
      <c r="C4" s="679"/>
      <c r="D4" s="679"/>
      <c r="E4" s="679"/>
      <c r="F4" s="679"/>
      <c r="G4" s="679"/>
      <c r="H4" s="679"/>
      <c r="I4" s="679"/>
      <c r="J4" s="679"/>
      <c r="K4" s="679"/>
      <c r="L4" s="679"/>
      <c r="M4" s="679"/>
      <c r="N4" s="679"/>
      <c r="O4" s="679"/>
      <c r="P4" s="679"/>
      <c r="Q4" s="679"/>
      <c r="R4" s="679"/>
      <c r="S4" s="679"/>
      <c r="T4" s="679"/>
      <c r="U4" s="679"/>
      <c r="V4" s="679"/>
      <c r="W4" s="679"/>
      <c r="X4" s="679"/>
      <c r="Y4" s="679"/>
      <c r="Z4" s="679"/>
      <c r="AA4" s="679"/>
      <c r="AB4" s="679"/>
      <c r="AC4" s="679"/>
    </row>
    <row r="5" spans="1:47" s="429" customFormat="1" x14ac:dyDescent="0.3"/>
    <row r="6" spans="1:47" s="429" customFormat="1" ht="18" customHeight="1" x14ac:dyDescent="0.3">
      <c r="G6" s="557" t="s">
        <v>310</v>
      </c>
      <c r="H6" s="557"/>
      <c r="I6" s="557"/>
      <c r="J6" s="557"/>
      <c r="K6" s="682" t="str">
        <f>IF(ISTEXT('1. Datos generales proyecto'!AJ3),'1. Datos generales proyecto'!AJ3,"")</f>
        <v/>
      </c>
      <c r="L6" s="682"/>
      <c r="M6" s="682"/>
      <c r="N6" s="682"/>
      <c r="O6" s="682"/>
      <c r="P6" s="682"/>
      <c r="Q6" s="683"/>
      <c r="S6" s="507" t="s">
        <v>526</v>
      </c>
      <c r="T6" s="680" t="str">
        <f>IF(ISTEXT('1. Datos generales proyecto'!AJ5),'1. Datos generales proyecto'!AJ5,"")</f>
        <v/>
      </c>
      <c r="U6" s="680"/>
      <c r="V6" s="680"/>
      <c r="W6" s="680"/>
      <c r="X6" s="680"/>
      <c r="Y6" s="680"/>
      <c r="Z6" s="680"/>
      <c r="AA6" s="680"/>
      <c r="AB6" s="681"/>
    </row>
    <row r="7" spans="1:47" s="429" customFormat="1" ht="17.25" customHeight="1" x14ac:dyDescent="0.3"/>
    <row r="8" spans="1:47" s="429" customFormat="1" x14ac:dyDescent="0.3">
      <c r="G8" s="557" t="s">
        <v>461</v>
      </c>
      <c r="H8" s="557"/>
      <c r="I8" s="557"/>
      <c r="J8" s="557"/>
      <c r="K8" s="699" t="str">
        <f>IF(ISTEXT('1. Datos generales proyecto'!AJ4),'1. Datos generales proyecto'!AJ4,"")</f>
        <v/>
      </c>
      <c r="L8" s="699"/>
      <c r="M8" s="699"/>
      <c r="N8" s="699"/>
      <c r="O8" s="699"/>
      <c r="P8" s="699"/>
      <c r="Q8" s="700"/>
      <c r="S8" s="507" t="s">
        <v>365</v>
      </c>
      <c r="T8" s="697" t="str">
        <f>IF(ISTEXT('1. Datos generales proyecto'!AJ6),'1. Datos generales proyecto'!AJ6,"")</f>
        <v/>
      </c>
      <c r="U8" s="697"/>
      <c r="V8" s="697"/>
      <c r="W8" s="697"/>
      <c r="X8" s="697"/>
      <c r="Y8" s="697"/>
      <c r="Z8" s="697"/>
      <c r="AA8" s="697"/>
      <c r="AB8" s="698"/>
    </row>
    <row r="9" spans="1:47" s="429" customFormat="1" ht="13.5" customHeight="1" x14ac:dyDescent="0.3"/>
    <row r="10" spans="1:47" s="430" customFormat="1" ht="18" hidden="1" x14ac:dyDescent="0.3">
      <c r="B10" s="679" t="s">
        <v>314</v>
      </c>
      <c r="C10" s="679"/>
      <c r="D10" s="679"/>
      <c r="E10" s="679"/>
      <c r="F10" s="679"/>
      <c r="G10" s="679"/>
      <c r="H10" s="679"/>
      <c r="I10" s="679"/>
      <c r="J10" s="679"/>
      <c r="K10" s="679"/>
      <c r="L10" s="679"/>
      <c r="M10" s="679"/>
      <c r="N10" s="679"/>
      <c r="O10" s="679"/>
      <c r="P10" s="679"/>
      <c r="Q10" s="679"/>
      <c r="R10" s="679"/>
      <c r="S10" s="679"/>
      <c r="T10" s="679"/>
      <c r="U10" s="679"/>
      <c r="V10" s="679"/>
      <c r="W10" s="679"/>
      <c r="X10" s="679"/>
      <c r="Y10" s="679"/>
      <c r="Z10" s="679"/>
      <c r="AA10" s="679"/>
      <c r="AB10" s="679"/>
      <c r="AC10" s="679"/>
    </row>
    <row r="11" spans="1:47" s="430" customFormat="1" hidden="1" x14ac:dyDescent="0.3">
      <c r="B11" s="429"/>
      <c r="C11" s="429"/>
      <c r="D11" s="429"/>
      <c r="E11" s="429"/>
      <c r="F11" s="429"/>
      <c r="G11" s="429"/>
      <c r="H11" s="429"/>
      <c r="I11" s="429"/>
      <c r="J11" s="429"/>
      <c r="K11" s="429"/>
      <c r="L11" s="429"/>
      <c r="M11" s="429"/>
      <c r="N11" s="429"/>
      <c r="O11" s="429"/>
      <c r="P11" s="429"/>
      <c r="Q11" s="429"/>
      <c r="R11" s="429"/>
      <c r="S11" s="429"/>
      <c r="T11" s="429"/>
      <c r="U11" s="429"/>
      <c r="V11" s="429"/>
      <c r="W11" s="429"/>
      <c r="X11" s="429"/>
      <c r="Y11" s="429"/>
      <c r="Z11" s="429"/>
      <c r="AA11" s="429"/>
      <c r="AB11" s="429"/>
      <c r="AC11" s="429"/>
    </row>
    <row r="12" spans="1:47" hidden="1" x14ac:dyDescent="0.3">
      <c r="A12" s="430"/>
      <c r="B12" s="696" t="s">
        <v>334</v>
      </c>
      <c r="C12" s="696"/>
      <c r="D12" s="696"/>
      <c r="E12" s="696"/>
      <c r="F12" s="696"/>
      <c r="G12" s="696"/>
      <c r="H12" s="696"/>
      <c r="I12" s="696"/>
      <c r="J12" s="696"/>
      <c r="K12" s="696"/>
      <c r="L12" s="696"/>
      <c r="M12" s="696"/>
      <c r="N12" s="696"/>
      <c r="O12" s="696"/>
      <c r="P12" s="696"/>
      <c r="Q12" s="696"/>
      <c r="R12" s="696"/>
      <c r="S12" s="696"/>
      <c r="T12" s="430"/>
      <c r="U12" s="628"/>
      <c r="V12" s="628"/>
      <c r="W12" s="628"/>
      <c r="X12" s="628"/>
      <c r="Y12" s="628"/>
      <c r="Z12" s="628"/>
      <c r="AA12" s="628"/>
      <c r="AB12" s="628"/>
      <c r="AC12" s="628"/>
      <c r="AD12" s="430"/>
      <c r="AE12" s="430"/>
      <c r="AF12" s="430"/>
      <c r="AG12" s="430"/>
      <c r="AH12" s="430"/>
      <c r="AI12" s="430"/>
      <c r="AJ12" s="430"/>
      <c r="AK12" s="430"/>
      <c r="AL12" s="430"/>
      <c r="AM12" s="430"/>
      <c r="AN12" s="430"/>
      <c r="AO12" s="430"/>
      <c r="AP12" s="430"/>
      <c r="AQ12" s="430"/>
      <c r="AR12" s="430"/>
      <c r="AS12" s="430"/>
      <c r="AT12" s="430"/>
      <c r="AU12" s="430"/>
    </row>
    <row r="13" spans="1:47" s="430" customFormat="1" hidden="1" x14ac:dyDescent="0.3"/>
    <row r="14" spans="1:47" hidden="1" x14ac:dyDescent="0.3">
      <c r="A14" s="430"/>
      <c r="B14" s="430"/>
      <c r="C14" s="430"/>
      <c r="D14" s="430"/>
      <c r="E14" s="430"/>
      <c r="F14" s="430"/>
      <c r="G14" s="430"/>
      <c r="H14" s="502"/>
      <c r="I14" s="422" t="s">
        <v>354</v>
      </c>
      <c r="J14" s="422"/>
      <c r="K14" s="311">
        <f>'2. Estimación absorción total'!AI1</f>
        <v>0</v>
      </c>
      <c r="L14" s="306" t="s">
        <v>304</v>
      </c>
      <c r="M14" s="430"/>
      <c r="N14" s="430"/>
      <c r="O14" s="430"/>
      <c r="P14" s="430"/>
      <c r="Q14" s="430"/>
      <c r="R14" s="430"/>
      <c r="S14" s="430"/>
      <c r="T14" s="430"/>
      <c r="U14" s="422" t="s">
        <v>355</v>
      </c>
      <c r="V14" s="422"/>
      <c r="W14" s="422"/>
      <c r="X14" s="500">
        <f>'2. Estimación absorción total'!AI2</f>
        <v>0</v>
      </c>
      <c r="Y14" s="501" t="s">
        <v>304</v>
      </c>
      <c r="Z14" s="430"/>
      <c r="AA14" s="430"/>
      <c r="AB14" s="430"/>
      <c r="AC14" s="430"/>
      <c r="AD14" s="430"/>
      <c r="AE14" s="430"/>
      <c r="AF14" s="430"/>
      <c r="AG14" s="430"/>
      <c r="AH14" s="430"/>
      <c r="AI14" s="430"/>
      <c r="AJ14" s="430"/>
      <c r="AK14" s="430"/>
      <c r="AL14" s="430"/>
      <c r="AM14" s="430"/>
      <c r="AN14" s="430"/>
      <c r="AO14" s="430"/>
      <c r="AP14" s="430"/>
      <c r="AQ14" s="430"/>
      <c r="AR14" s="430"/>
      <c r="AS14" s="430"/>
      <c r="AT14" s="430"/>
      <c r="AU14" s="430"/>
    </row>
    <row r="15" spans="1:47" hidden="1" x14ac:dyDescent="0.3">
      <c r="A15" s="430"/>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t="str">
        <f>B12</f>
        <v xml:space="preserve">A. Repoblaciones sin aprovechamiento maderero o de aprovechamiento no intensivo </v>
      </c>
      <c r="AF15" s="430"/>
      <c r="AG15" s="430"/>
      <c r="AH15" s="430"/>
      <c r="AI15" s="430"/>
      <c r="AJ15" s="430"/>
      <c r="AK15" s="430" t="e">
        <f>#REF!</f>
        <v>#REF!</v>
      </c>
      <c r="AL15" s="430"/>
      <c r="AM15" s="430"/>
      <c r="AN15" s="430"/>
      <c r="AO15" s="430"/>
      <c r="AP15" s="430"/>
      <c r="AQ15" s="430"/>
      <c r="AR15" s="430"/>
      <c r="AS15" s="430"/>
      <c r="AT15" s="430"/>
      <c r="AU15" s="430"/>
    </row>
    <row r="16" spans="1:47" ht="22.5" hidden="1" customHeight="1" x14ac:dyDescent="0.3">
      <c r="A16" s="430"/>
      <c r="B16" s="430"/>
      <c r="C16" s="430"/>
      <c r="D16" s="672" t="s">
        <v>93</v>
      </c>
      <c r="E16" s="672"/>
      <c r="F16" s="672"/>
      <c r="G16" s="672"/>
      <c r="H16" s="672"/>
      <c r="I16" s="672"/>
      <c r="J16" s="672" t="s">
        <v>389</v>
      </c>
      <c r="K16" s="672" t="s">
        <v>315</v>
      </c>
      <c r="L16" s="673" t="s">
        <v>317</v>
      </c>
      <c r="M16" s="674"/>
      <c r="N16" s="420"/>
      <c r="O16" s="684" t="s">
        <v>346</v>
      </c>
      <c r="P16" s="685"/>
      <c r="Q16" s="685"/>
      <c r="R16" s="685"/>
      <c r="S16" s="430"/>
      <c r="T16" s="430"/>
      <c r="U16" s="688" t="s">
        <v>93</v>
      </c>
      <c r="V16" s="689"/>
      <c r="W16" s="677" t="s">
        <v>389</v>
      </c>
      <c r="X16" s="677" t="s">
        <v>315</v>
      </c>
      <c r="Y16" s="673" t="s">
        <v>316</v>
      </c>
      <c r="Z16" s="701"/>
      <c r="AA16" s="701"/>
      <c r="AB16" s="674"/>
      <c r="AC16" s="684" t="s">
        <v>347</v>
      </c>
      <c r="AD16" s="459"/>
      <c r="AE16" s="307" t="str">
        <f>E50</f>
        <v/>
      </c>
      <c r="AF16" s="307" t="str">
        <f>E51</f>
        <v/>
      </c>
      <c r="AG16" s="307" t="str">
        <f>E52</f>
        <v/>
      </c>
      <c r="AH16" s="307" t="str">
        <f>E53</f>
        <v/>
      </c>
      <c r="AI16" s="307" t="str">
        <f>E54</f>
        <v/>
      </c>
      <c r="AK16" s="307" t="str">
        <f>AE16</f>
        <v/>
      </c>
      <c r="AL16" s="307" t="str">
        <f>AF16</f>
        <v/>
      </c>
      <c r="AM16" s="307" t="str">
        <f>AG16</f>
        <v/>
      </c>
      <c r="AN16" s="307" t="str">
        <f>AH16</f>
        <v/>
      </c>
      <c r="AO16" s="307" t="str">
        <f>AI16</f>
        <v/>
      </c>
      <c r="AQ16" s="303" t="s">
        <v>391</v>
      </c>
    </row>
    <row r="17" spans="1:47" hidden="1" x14ac:dyDescent="0.3">
      <c r="A17" s="430"/>
      <c r="B17" s="430"/>
      <c r="C17" s="430"/>
      <c r="D17" s="672"/>
      <c r="E17" s="672"/>
      <c r="F17" s="672"/>
      <c r="G17" s="672"/>
      <c r="H17" s="672"/>
      <c r="I17" s="672"/>
      <c r="J17" s="672"/>
      <c r="K17" s="672"/>
      <c r="L17" s="673" t="s">
        <v>337</v>
      </c>
      <c r="M17" s="674"/>
      <c r="N17" s="421"/>
      <c r="O17" s="686"/>
      <c r="P17" s="687"/>
      <c r="Q17" s="687"/>
      <c r="R17" s="687"/>
      <c r="S17" s="430"/>
      <c r="T17" s="430"/>
      <c r="U17" s="688"/>
      <c r="V17" s="689"/>
      <c r="W17" s="678"/>
      <c r="X17" s="678"/>
      <c r="Y17" s="673" t="s">
        <v>338</v>
      </c>
      <c r="Z17" s="674"/>
      <c r="AA17" s="673" t="s">
        <v>339</v>
      </c>
      <c r="AB17" s="674"/>
      <c r="AC17" s="686"/>
      <c r="AD17" s="459"/>
      <c r="AE17" s="308" t="str">
        <f>IF(J18=$E$50,L18,"")</f>
        <v/>
      </c>
      <c r="AF17" s="308" t="str">
        <f t="shared" ref="AF17:AF31" si="0">IF(J18=$E$51,L18,"")</f>
        <v/>
      </c>
      <c r="AG17" s="308" t="str">
        <f t="shared" ref="AG17:AG31" si="1">IF(J18=$E$52,L18,"")</f>
        <v/>
      </c>
      <c r="AH17" s="308" t="str">
        <f t="shared" ref="AH17:AH31" si="2">IF(J18=$E$53,L18,"")</f>
        <v/>
      </c>
      <c r="AI17" s="308" t="str">
        <f t="shared" ref="AI17:AI31" si="3">IF(J18=$E$54,L18,"")</f>
        <v/>
      </c>
      <c r="AK17" s="308" t="str">
        <f t="shared" ref="AK17:AK31" si="4">IF(W18=$E$50,Y18,"")</f>
        <v/>
      </c>
      <c r="AL17" s="308" t="str">
        <f t="shared" ref="AL17:AL31" si="5">IF(W18=$E$51,Y18,"")</f>
        <v/>
      </c>
      <c r="AM17" s="308" t="str">
        <f t="shared" ref="AM17:AM31" si="6">IF(W18=$E$52,Y18,"")</f>
        <v/>
      </c>
      <c r="AN17" s="308" t="str">
        <f t="shared" ref="AN17:AN31" si="7">IF(W18=$E$53,Y18,"")</f>
        <v/>
      </c>
      <c r="AO17" s="308" t="str">
        <f t="shared" ref="AO17:AO31" si="8">IF(W18=$E$54,Y18,"")</f>
        <v/>
      </c>
      <c r="AQ17" s="228" t="str">
        <f>AK16</f>
        <v/>
      </c>
      <c r="AR17" s="228" t="str">
        <f>AL16</f>
        <v/>
      </c>
      <c r="AS17" s="228" t="str">
        <f>AM16</f>
        <v/>
      </c>
      <c r="AT17" s="228" t="str">
        <f>AN16</f>
        <v/>
      </c>
      <c r="AU17" s="228" t="str">
        <f>AO16</f>
        <v/>
      </c>
    </row>
    <row r="18" spans="1:47" hidden="1" x14ac:dyDescent="0.3">
      <c r="A18" s="430"/>
      <c r="B18" s="430"/>
      <c r="C18" s="430"/>
      <c r="D18" s="706" t="str">
        <f>IF(ISTEXT('2. Estimación absorción total'!D20),'2. Estimación absorción total'!D20,"")</f>
        <v/>
      </c>
      <c r="E18" s="706"/>
      <c r="F18" s="706"/>
      <c r="G18" s="706"/>
      <c r="H18" s="706"/>
      <c r="I18" s="706"/>
      <c r="J18" s="226" t="str">
        <f>IF(ISNUMBER('2. Estimación absorción total'!E20),'2. Estimación absorción total'!E20,"")</f>
        <v/>
      </c>
      <c r="K18" s="208" t="str">
        <f>IF(ISNUMBER('2. Estimación absorción total'!F20),'2. Estimación absorción total'!F20,"")</f>
        <v/>
      </c>
      <c r="L18" s="707" t="str">
        <f>IF(ISNUMBER('2. Estimación absorción total'!H20),'2. Estimación absorción total'!H20,"")</f>
        <v/>
      </c>
      <c r="M18" s="708"/>
      <c r="N18" s="231"/>
      <c r="O18" s="209" t="str">
        <f>IF(ISNUMBER(L18),0.2*L18,"")</f>
        <v/>
      </c>
      <c r="P18" s="323"/>
      <c r="Q18" s="675"/>
      <c r="R18" s="676"/>
      <c r="S18" s="430"/>
      <c r="T18" s="430"/>
      <c r="U18" s="694"/>
      <c r="V18" s="695"/>
      <c r="W18" s="226" t="str">
        <f>IF(ISNUMBER('2. Estimación absorción total'!E43),'2. Estimación absorción total'!E43,"")</f>
        <v/>
      </c>
      <c r="X18" s="208" t="str">
        <f>IF(ISNUMBER('2. Estimación absorción total'!H43),'2. Estimación absorción total'!H43,"")</f>
        <v/>
      </c>
      <c r="Y18" s="704" t="str">
        <f>IF(ISNUMBER('2. Estimación absorción total'!J43),'2. Estimación absorción total'!J43,"")</f>
        <v/>
      </c>
      <c r="Z18" s="705"/>
      <c r="AA18" s="702" t="str">
        <f>IF(ISNUMBER('2. Estimación absorción total'!AR44),'2. Estimación absorción total'!AR44,"")</f>
        <v/>
      </c>
      <c r="AB18" s="703"/>
      <c r="AC18" s="210" t="str">
        <f t="shared" ref="AC18:AC32" si="9">IF(ISNUMBER(Y18),0.2*Y18,"")</f>
        <v/>
      </c>
      <c r="AD18" s="459"/>
      <c r="AE18" s="308" t="str">
        <f t="shared" ref="AE18:AE31" si="10">IF(J19=$E$50,L19,"")</f>
        <v/>
      </c>
      <c r="AF18" s="308" t="str">
        <f t="shared" si="0"/>
        <v/>
      </c>
      <c r="AG18" s="308" t="str">
        <f t="shared" si="1"/>
        <v/>
      </c>
      <c r="AH18" s="308" t="str">
        <f t="shared" si="2"/>
        <v/>
      </c>
      <c r="AI18" s="308" t="str">
        <f t="shared" si="3"/>
        <v/>
      </c>
      <c r="AK18" s="308" t="str">
        <f t="shared" si="4"/>
        <v/>
      </c>
      <c r="AL18" s="308" t="str">
        <f t="shared" si="5"/>
        <v/>
      </c>
      <c r="AM18" s="308" t="str">
        <f t="shared" si="6"/>
        <v/>
      </c>
      <c r="AN18" s="308" t="str">
        <f t="shared" si="7"/>
        <v/>
      </c>
      <c r="AO18" s="308" t="str">
        <f t="shared" si="8"/>
        <v/>
      </c>
      <c r="AQ18" s="320">
        <f>ROUND(SUM(AE32+AK32),0)</f>
        <v>0</v>
      </c>
      <c r="AR18" s="320">
        <f>ROUND(SUM(AF32+AL32),0)</f>
        <v>0</v>
      </c>
      <c r="AS18" s="320">
        <f>ROUND(SUM(AG32+AM32),0)</f>
        <v>0</v>
      </c>
      <c r="AT18" s="320">
        <f>ROUND(SUM(AH32+AN32),0)</f>
        <v>0</v>
      </c>
      <c r="AU18" s="320">
        <f>ROUND(SUM(AI32+AO32),0)</f>
        <v>0</v>
      </c>
    </row>
    <row r="19" spans="1:47" hidden="1" x14ac:dyDescent="0.3">
      <c r="A19" s="430"/>
      <c r="B19" s="430"/>
      <c r="C19" s="430"/>
      <c r="D19" s="706" t="str">
        <f>IF(ISTEXT('2. Estimación absorción total'!D21),'2. Estimación absorción total'!D21,"")</f>
        <v/>
      </c>
      <c r="E19" s="706"/>
      <c r="F19" s="706"/>
      <c r="G19" s="706"/>
      <c r="H19" s="706"/>
      <c r="I19" s="706"/>
      <c r="J19" s="226" t="str">
        <f>IF(ISNUMBER('2. Estimación absorción total'!E21),'2. Estimación absorción total'!E21,"")</f>
        <v/>
      </c>
      <c r="K19" s="208" t="str">
        <f>IF(ISNUMBER('2. Estimación absorción total'!F21),'2. Estimación absorción total'!F21,"")</f>
        <v/>
      </c>
      <c r="L19" s="707" t="str">
        <f>IF(ISNUMBER('2. Estimación absorción total'!H21),'2. Estimación absorción total'!H21,"")</f>
        <v/>
      </c>
      <c r="M19" s="708"/>
      <c r="N19" s="231"/>
      <c r="O19" s="209" t="str">
        <f t="shared" ref="O19:O32" si="11">IF(ISNUMBER(L19),0.2*L19,"")</f>
        <v/>
      </c>
      <c r="P19" s="323"/>
      <c r="Q19" s="675"/>
      <c r="R19" s="676"/>
      <c r="S19" s="430"/>
      <c r="T19" s="430"/>
      <c r="U19" s="694"/>
      <c r="V19" s="695"/>
      <c r="W19" s="226" t="str">
        <f>IF(ISNUMBER('2. Estimación absorción total'!E44),'2. Estimación absorción total'!E44,"")</f>
        <v/>
      </c>
      <c r="X19" s="208" t="str">
        <f>IF(ISNUMBER('2. Estimación absorción total'!H44),'2. Estimación absorción total'!H44,"")</f>
        <v/>
      </c>
      <c r="Y19" s="692" t="str">
        <f>IF(ISNUMBER('2. Estimación absorción total'!J44),'2. Estimación absorción total'!J44,"")</f>
        <v/>
      </c>
      <c r="Z19" s="693"/>
      <c r="AA19" s="690" t="str">
        <f>IF(ISNUMBER('2. Estimación absorción total'!AR45),'2. Estimación absorción total'!AR45,"")</f>
        <v/>
      </c>
      <c r="AB19" s="691"/>
      <c r="AC19" s="210" t="str">
        <f t="shared" si="9"/>
        <v/>
      </c>
      <c r="AD19" s="459"/>
      <c r="AE19" s="308" t="str">
        <f t="shared" si="10"/>
        <v/>
      </c>
      <c r="AF19" s="308" t="str">
        <f t="shared" si="0"/>
        <v/>
      </c>
      <c r="AG19" s="308" t="str">
        <f t="shared" si="1"/>
        <v/>
      </c>
      <c r="AH19" s="308" t="str">
        <f t="shared" si="2"/>
        <v/>
      </c>
      <c r="AI19" s="308" t="str">
        <f t="shared" si="3"/>
        <v/>
      </c>
      <c r="AK19" s="308" t="str">
        <f t="shared" si="4"/>
        <v/>
      </c>
      <c r="AL19" s="308" t="str">
        <f t="shared" si="5"/>
        <v/>
      </c>
      <c r="AM19" s="308" t="str">
        <f t="shared" si="6"/>
        <v/>
      </c>
      <c r="AN19" s="308" t="str">
        <f t="shared" si="7"/>
        <v/>
      </c>
      <c r="AO19" s="308" t="str">
        <f t="shared" si="8"/>
        <v/>
      </c>
      <c r="AQ19" s="227" t="str">
        <f>IF(AQ18=0,"",AQ18)</f>
        <v/>
      </c>
      <c r="AR19" s="227" t="str">
        <f>IF(AR18=0,"",AR18)</f>
        <v/>
      </c>
      <c r="AS19" s="227" t="str">
        <f>IF(AS18=0,"",AS18)</f>
        <v/>
      </c>
      <c r="AT19" s="227" t="str">
        <f>IF(AT18=0,"",AT18)</f>
        <v/>
      </c>
      <c r="AU19" s="227" t="str">
        <f>IF(AU18=0,"",AU18)</f>
        <v/>
      </c>
    </row>
    <row r="20" spans="1:47" hidden="1" x14ac:dyDescent="0.3">
      <c r="A20" s="430"/>
      <c r="B20" s="430"/>
      <c r="C20" s="430"/>
      <c r="D20" s="706" t="str">
        <f>IF(ISTEXT('2. Estimación absorción total'!D22),'2. Estimación absorción total'!D22,"")</f>
        <v/>
      </c>
      <c r="E20" s="706"/>
      <c r="F20" s="706"/>
      <c r="G20" s="706"/>
      <c r="H20" s="706"/>
      <c r="I20" s="706"/>
      <c r="J20" s="226" t="str">
        <f>IF(ISNUMBER('2. Estimación absorción total'!E22),'2. Estimación absorción total'!E22,"")</f>
        <v/>
      </c>
      <c r="K20" s="208" t="str">
        <f>IF(ISNUMBER('2. Estimación absorción total'!F22),'2. Estimación absorción total'!F22,"")</f>
        <v/>
      </c>
      <c r="L20" s="707" t="str">
        <f>IF(ISNUMBER('2. Estimación absorción total'!H22),'2. Estimación absorción total'!H22,"")</f>
        <v/>
      </c>
      <c r="M20" s="708"/>
      <c r="N20" s="231"/>
      <c r="O20" s="209" t="str">
        <f t="shared" si="11"/>
        <v/>
      </c>
      <c r="P20" s="323"/>
      <c r="Q20" s="675"/>
      <c r="R20" s="676"/>
      <c r="S20" s="430"/>
      <c r="T20" s="430"/>
      <c r="U20" s="694"/>
      <c r="V20" s="695"/>
      <c r="W20" s="226" t="str">
        <f>IF(ISNUMBER('2. Estimación absorción total'!E45),'2. Estimación absorción total'!E45,"")</f>
        <v/>
      </c>
      <c r="X20" s="208" t="str">
        <f>IF(ISNUMBER('2. Estimación absorción total'!H45),'2. Estimación absorción total'!H45,"")</f>
        <v/>
      </c>
      <c r="Y20" s="692" t="str">
        <f>IF(ISNUMBER('2. Estimación absorción total'!J45),'2. Estimación absorción total'!J45,"")</f>
        <v/>
      </c>
      <c r="Z20" s="693"/>
      <c r="AA20" s="690" t="str">
        <f>IF(ISNUMBER('2. Estimación absorción total'!AR46),'2. Estimación absorción total'!AR46,"")</f>
        <v/>
      </c>
      <c r="AB20" s="691"/>
      <c r="AC20" s="210" t="str">
        <f t="shared" si="9"/>
        <v/>
      </c>
      <c r="AD20" s="459"/>
      <c r="AE20" s="308" t="str">
        <f t="shared" si="10"/>
        <v/>
      </c>
      <c r="AF20" s="308" t="str">
        <f t="shared" si="0"/>
        <v/>
      </c>
      <c r="AG20" s="308" t="str">
        <f t="shared" si="1"/>
        <v/>
      </c>
      <c r="AH20" s="308" t="str">
        <f t="shared" si="2"/>
        <v/>
      </c>
      <c r="AI20" s="308" t="str">
        <f t="shared" si="3"/>
        <v/>
      </c>
      <c r="AK20" s="308" t="str">
        <f t="shared" si="4"/>
        <v/>
      </c>
      <c r="AL20" s="308" t="str">
        <f t="shared" si="5"/>
        <v/>
      </c>
      <c r="AM20" s="308" t="str">
        <f t="shared" si="6"/>
        <v/>
      </c>
      <c r="AN20" s="308" t="str">
        <f t="shared" si="7"/>
        <v/>
      </c>
      <c r="AO20" s="308" t="str">
        <f t="shared" si="8"/>
        <v/>
      </c>
      <c r="AQ20" s="322" t="s">
        <v>472</v>
      </c>
    </row>
    <row r="21" spans="1:47" hidden="1" x14ac:dyDescent="0.3">
      <c r="A21" s="430"/>
      <c r="B21" s="430"/>
      <c r="C21" s="430"/>
      <c r="D21" s="706" t="str">
        <f>IF(ISTEXT('2. Estimación absorción total'!D23),'2. Estimación absorción total'!D23,"")</f>
        <v/>
      </c>
      <c r="E21" s="706"/>
      <c r="F21" s="706"/>
      <c r="G21" s="706"/>
      <c r="H21" s="706"/>
      <c r="I21" s="706"/>
      <c r="J21" s="226" t="str">
        <f>IF(ISNUMBER('2. Estimación absorción total'!E23),'2. Estimación absorción total'!E23,"")</f>
        <v/>
      </c>
      <c r="K21" s="208" t="str">
        <f>IF(ISNUMBER('2. Estimación absorción total'!F23),'2. Estimación absorción total'!F23,"")</f>
        <v/>
      </c>
      <c r="L21" s="707" t="str">
        <f>IF(ISNUMBER('2. Estimación absorción total'!H23),'2. Estimación absorción total'!H23,"")</f>
        <v/>
      </c>
      <c r="M21" s="708"/>
      <c r="N21" s="231"/>
      <c r="O21" s="209" t="str">
        <f t="shared" si="11"/>
        <v/>
      </c>
      <c r="P21" s="323"/>
      <c r="Q21" s="675"/>
      <c r="R21" s="676"/>
      <c r="S21" s="430"/>
      <c r="T21" s="430"/>
      <c r="U21" s="694"/>
      <c r="V21" s="695"/>
      <c r="W21" s="226" t="str">
        <f>IF(ISNUMBER('2. Estimación absorción total'!E46),'2. Estimación absorción total'!E46,"")</f>
        <v/>
      </c>
      <c r="X21" s="208" t="str">
        <f>IF(ISNUMBER('2. Estimación absorción total'!H46),'2. Estimación absorción total'!H46,"")</f>
        <v/>
      </c>
      <c r="Y21" s="692" t="str">
        <f>IF(ISNUMBER('2. Estimación absorción total'!J46),'2. Estimación absorción total'!J46,"")</f>
        <v/>
      </c>
      <c r="Z21" s="693"/>
      <c r="AA21" s="690" t="str">
        <f>IF(ISNUMBER('2. Estimación absorción total'!AR47),'2. Estimación absorción total'!AR47,"")</f>
        <v/>
      </c>
      <c r="AB21" s="691"/>
      <c r="AC21" s="210" t="str">
        <f t="shared" si="9"/>
        <v/>
      </c>
      <c r="AD21" s="459"/>
      <c r="AE21" s="308" t="str">
        <f t="shared" si="10"/>
        <v/>
      </c>
      <c r="AF21" s="308" t="str">
        <f t="shared" si="0"/>
        <v/>
      </c>
      <c r="AG21" s="308" t="str">
        <f t="shared" si="1"/>
        <v/>
      </c>
      <c r="AH21" s="308" t="str">
        <f t="shared" si="2"/>
        <v/>
      </c>
      <c r="AI21" s="308" t="str">
        <f t="shared" si="3"/>
        <v/>
      </c>
      <c r="AK21" s="308" t="str">
        <f t="shared" si="4"/>
        <v/>
      </c>
      <c r="AL21" s="308" t="str">
        <f t="shared" si="5"/>
        <v/>
      </c>
      <c r="AM21" s="308" t="str">
        <f t="shared" si="6"/>
        <v/>
      </c>
      <c r="AN21" s="308" t="str">
        <f t="shared" si="7"/>
        <v/>
      </c>
      <c r="AO21" s="308" t="str">
        <f t="shared" si="8"/>
        <v/>
      </c>
    </row>
    <row r="22" spans="1:47" hidden="1" x14ac:dyDescent="0.3">
      <c r="A22" s="430"/>
      <c r="B22" s="430"/>
      <c r="C22" s="430"/>
      <c r="D22" s="706" t="str">
        <f>IF(ISTEXT('2. Estimación absorción total'!D24),'2. Estimación absorción total'!D24,"")</f>
        <v/>
      </c>
      <c r="E22" s="706"/>
      <c r="F22" s="706"/>
      <c r="G22" s="706"/>
      <c r="H22" s="706"/>
      <c r="I22" s="706"/>
      <c r="J22" s="226" t="str">
        <f>IF(ISNUMBER('2. Estimación absorción total'!E24),'2. Estimación absorción total'!E24,"")</f>
        <v/>
      </c>
      <c r="K22" s="208" t="str">
        <f>IF(ISNUMBER('2. Estimación absorción total'!F24),'2. Estimación absorción total'!F24,"")</f>
        <v/>
      </c>
      <c r="L22" s="707" t="str">
        <f>IF(ISNUMBER('2. Estimación absorción total'!H24),'2. Estimación absorción total'!H24,"")</f>
        <v/>
      </c>
      <c r="M22" s="708"/>
      <c r="N22" s="231"/>
      <c r="O22" s="209" t="str">
        <f t="shared" si="11"/>
        <v/>
      </c>
      <c r="P22" s="323"/>
      <c r="Q22" s="675"/>
      <c r="R22" s="676"/>
      <c r="S22" s="430"/>
      <c r="T22" s="430"/>
      <c r="U22" s="694"/>
      <c r="V22" s="695"/>
      <c r="W22" s="226" t="str">
        <f>IF(ISNUMBER('2. Estimación absorción total'!E47),'2. Estimación absorción total'!E47,"")</f>
        <v/>
      </c>
      <c r="X22" s="208" t="str">
        <f>IF(ISNUMBER('2. Estimación absorción total'!H47),'2. Estimación absorción total'!H47,"")</f>
        <v/>
      </c>
      <c r="Y22" s="692" t="str">
        <f>IF(ISNUMBER('2. Estimación absorción total'!J47),'2. Estimación absorción total'!J47,"")</f>
        <v/>
      </c>
      <c r="Z22" s="693"/>
      <c r="AA22" s="690" t="str">
        <f>IF(ISNUMBER('2. Estimación absorción total'!AR48),'2. Estimación absorción total'!AR48,"")</f>
        <v/>
      </c>
      <c r="AB22" s="691"/>
      <c r="AC22" s="210" t="str">
        <f t="shared" si="9"/>
        <v/>
      </c>
      <c r="AD22" s="459"/>
      <c r="AE22" s="308" t="str">
        <f t="shared" si="10"/>
        <v/>
      </c>
      <c r="AF22" s="308" t="str">
        <f t="shared" si="0"/>
        <v/>
      </c>
      <c r="AG22" s="308" t="str">
        <f t="shared" si="1"/>
        <v/>
      </c>
      <c r="AH22" s="308" t="str">
        <f t="shared" si="2"/>
        <v/>
      </c>
      <c r="AI22" s="308" t="str">
        <f t="shared" si="3"/>
        <v/>
      </c>
      <c r="AK22" s="308" t="str">
        <f t="shared" si="4"/>
        <v/>
      </c>
      <c r="AL22" s="308" t="str">
        <f t="shared" si="5"/>
        <v/>
      </c>
      <c r="AM22" s="308" t="str">
        <f t="shared" si="6"/>
        <v/>
      </c>
      <c r="AN22" s="308" t="str">
        <f t="shared" si="7"/>
        <v/>
      </c>
      <c r="AO22" s="308" t="str">
        <f t="shared" si="8"/>
        <v/>
      </c>
    </row>
    <row r="23" spans="1:47" hidden="1" x14ac:dyDescent="0.3">
      <c r="A23" s="430"/>
      <c r="B23" s="430"/>
      <c r="C23" s="430"/>
      <c r="D23" s="706" t="str">
        <f>IF(ISTEXT('2. Estimación absorción total'!D25),'2. Estimación absorción total'!D25,"")</f>
        <v/>
      </c>
      <c r="E23" s="706"/>
      <c r="F23" s="706"/>
      <c r="G23" s="706"/>
      <c r="H23" s="706"/>
      <c r="I23" s="706"/>
      <c r="J23" s="226" t="str">
        <f>IF(ISNUMBER('2. Estimación absorción total'!E25),'2. Estimación absorción total'!E25,"")</f>
        <v/>
      </c>
      <c r="K23" s="208" t="str">
        <f>IF(ISNUMBER('2. Estimación absorción total'!F25),'2. Estimación absorción total'!F25,"")</f>
        <v/>
      </c>
      <c r="L23" s="707" t="str">
        <f>IF(ISNUMBER('2. Estimación absorción total'!H25),'2. Estimación absorción total'!H25,"")</f>
        <v/>
      </c>
      <c r="M23" s="708"/>
      <c r="N23" s="231"/>
      <c r="O23" s="209" t="str">
        <f t="shared" si="11"/>
        <v/>
      </c>
      <c r="P23" s="323"/>
      <c r="Q23" s="675"/>
      <c r="R23" s="676"/>
      <c r="S23" s="430"/>
      <c r="T23" s="430"/>
      <c r="U23" s="694"/>
      <c r="V23" s="695"/>
      <c r="W23" s="226" t="str">
        <f>IF(ISNUMBER('2. Estimación absorción total'!E48),'2. Estimación absorción total'!E48,"")</f>
        <v/>
      </c>
      <c r="X23" s="208" t="str">
        <f>IF(ISNUMBER('2. Estimación absorción total'!H48),'2. Estimación absorción total'!H48,"")</f>
        <v/>
      </c>
      <c r="Y23" s="692" t="str">
        <f>IF(ISNUMBER('2. Estimación absorción total'!J48),'2. Estimación absorción total'!J48,"")</f>
        <v/>
      </c>
      <c r="Z23" s="693"/>
      <c r="AA23" s="690" t="str">
        <f>IF(ISNUMBER('2. Estimación absorción total'!AR49),'2. Estimación absorción total'!AR49,"")</f>
        <v/>
      </c>
      <c r="AB23" s="691"/>
      <c r="AC23" s="210" t="str">
        <f t="shared" si="9"/>
        <v/>
      </c>
      <c r="AD23" s="459"/>
      <c r="AE23" s="308" t="str">
        <f t="shared" si="10"/>
        <v/>
      </c>
      <c r="AF23" s="308" t="str">
        <f t="shared" si="0"/>
        <v/>
      </c>
      <c r="AG23" s="308" t="str">
        <f t="shared" si="1"/>
        <v/>
      </c>
      <c r="AH23" s="308" t="str">
        <f t="shared" si="2"/>
        <v/>
      </c>
      <c r="AI23" s="308" t="str">
        <f t="shared" si="3"/>
        <v/>
      </c>
      <c r="AK23" s="308" t="str">
        <f t="shared" si="4"/>
        <v/>
      </c>
      <c r="AL23" s="308" t="str">
        <f t="shared" si="5"/>
        <v/>
      </c>
      <c r="AM23" s="308" t="str">
        <f t="shared" si="6"/>
        <v/>
      </c>
      <c r="AN23" s="308" t="str">
        <f t="shared" si="7"/>
        <v/>
      </c>
      <c r="AO23" s="308" t="str">
        <f t="shared" si="8"/>
        <v/>
      </c>
    </row>
    <row r="24" spans="1:47" hidden="1" x14ac:dyDescent="0.3">
      <c r="A24" s="430"/>
      <c r="B24" s="430"/>
      <c r="C24" s="430"/>
      <c r="D24" s="706" t="str">
        <f>IF(ISTEXT('2. Estimación absorción total'!D26),'2. Estimación absorción total'!D26,"")</f>
        <v/>
      </c>
      <c r="E24" s="706"/>
      <c r="F24" s="706"/>
      <c r="G24" s="706"/>
      <c r="H24" s="706"/>
      <c r="I24" s="706"/>
      <c r="J24" s="226" t="str">
        <f>IF(ISNUMBER('2. Estimación absorción total'!E26),'2. Estimación absorción total'!E26,"")</f>
        <v/>
      </c>
      <c r="K24" s="208" t="str">
        <f>IF(ISNUMBER('2. Estimación absorción total'!F26),'2. Estimación absorción total'!F26,"")</f>
        <v/>
      </c>
      <c r="L24" s="707" t="str">
        <f>IF(ISNUMBER('2. Estimación absorción total'!H26),'2. Estimación absorción total'!H26,"")</f>
        <v/>
      </c>
      <c r="M24" s="708"/>
      <c r="N24" s="231"/>
      <c r="O24" s="209" t="str">
        <f t="shared" si="11"/>
        <v/>
      </c>
      <c r="P24" s="323"/>
      <c r="Q24" s="675"/>
      <c r="R24" s="676"/>
      <c r="S24" s="430"/>
      <c r="T24" s="430"/>
      <c r="U24" s="694"/>
      <c r="V24" s="695"/>
      <c r="W24" s="226" t="str">
        <f>IF(ISNUMBER('2. Estimación absorción total'!E49),'2. Estimación absorción total'!E49,"")</f>
        <v/>
      </c>
      <c r="X24" s="208" t="str">
        <f>IF(ISNUMBER('2. Estimación absorción total'!H49),'2. Estimación absorción total'!H49,"")</f>
        <v/>
      </c>
      <c r="Y24" s="692" t="str">
        <f>IF(ISNUMBER('2. Estimación absorción total'!J49),'2. Estimación absorción total'!J49,"")</f>
        <v/>
      </c>
      <c r="Z24" s="693"/>
      <c r="AA24" s="690" t="str">
        <f>IF(ISNUMBER('2. Estimación absorción total'!AR50),'2. Estimación absorción total'!AR50,"")</f>
        <v/>
      </c>
      <c r="AB24" s="691"/>
      <c r="AC24" s="210" t="str">
        <f t="shared" si="9"/>
        <v/>
      </c>
      <c r="AD24" s="459"/>
      <c r="AE24" s="308" t="str">
        <f t="shared" si="10"/>
        <v/>
      </c>
      <c r="AF24" s="308" t="str">
        <f t="shared" si="0"/>
        <v/>
      </c>
      <c r="AG24" s="308" t="str">
        <f t="shared" si="1"/>
        <v/>
      </c>
      <c r="AH24" s="308" t="str">
        <f t="shared" si="2"/>
        <v/>
      </c>
      <c r="AI24" s="308" t="str">
        <f t="shared" si="3"/>
        <v/>
      </c>
      <c r="AK24" s="308" t="str">
        <f t="shared" si="4"/>
        <v/>
      </c>
      <c r="AL24" s="308" t="str">
        <f t="shared" si="5"/>
        <v/>
      </c>
      <c r="AM24" s="308" t="str">
        <f t="shared" si="6"/>
        <v/>
      </c>
      <c r="AN24" s="308" t="str">
        <f t="shared" si="7"/>
        <v/>
      </c>
      <c r="AO24" s="308" t="str">
        <f t="shared" si="8"/>
        <v/>
      </c>
    </row>
    <row r="25" spans="1:47" hidden="1" x14ac:dyDescent="0.3">
      <c r="A25" s="430"/>
      <c r="B25" s="430"/>
      <c r="C25" s="430"/>
      <c r="D25" s="706" t="str">
        <f>IF(ISTEXT('2. Estimación absorción total'!D27),'2. Estimación absorción total'!D27,"")</f>
        <v/>
      </c>
      <c r="E25" s="706"/>
      <c r="F25" s="706"/>
      <c r="G25" s="706"/>
      <c r="H25" s="706"/>
      <c r="I25" s="706"/>
      <c r="J25" s="226" t="str">
        <f>IF(ISNUMBER('2. Estimación absorción total'!E27),'2. Estimación absorción total'!E27,"")</f>
        <v/>
      </c>
      <c r="K25" s="208" t="str">
        <f>IF(ISNUMBER('2. Estimación absorción total'!F27),'2. Estimación absorción total'!F27,"")</f>
        <v/>
      </c>
      <c r="L25" s="707" t="str">
        <f>IF(ISNUMBER('2. Estimación absorción total'!H27),'2. Estimación absorción total'!H27,"")</f>
        <v/>
      </c>
      <c r="M25" s="708"/>
      <c r="N25" s="231"/>
      <c r="O25" s="209" t="str">
        <f t="shared" si="11"/>
        <v/>
      </c>
      <c r="P25" s="323"/>
      <c r="Q25" s="709">
        <f>SUM(O18:O32)</f>
        <v>0</v>
      </c>
      <c r="R25" s="710"/>
      <c r="S25" s="430"/>
      <c r="T25" s="430"/>
      <c r="U25" s="694"/>
      <c r="V25" s="695"/>
      <c r="W25" s="226" t="str">
        <f>IF(ISNUMBER('2. Estimación absorción total'!E50),'2. Estimación absorción total'!E50,"")</f>
        <v/>
      </c>
      <c r="X25" s="208" t="str">
        <f>IF(ISNUMBER('2. Estimación absorción total'!H50),'2. Estimación absorción total'!H50,"")</f>
        <v/>
      </c>
      <c r="Y25" s="692" t="str">
        <f>IF(ISNUMBER('2. Estimación absorción total'!J50),'2. Estimación absorción total'!J50,"")</f>
        <v/>
      </c>
      <c r="Z25" s="693"/>
      <c r="AA25" s="690" t="str">
        <f>IF(ISNUMBER('2. Estimación absorción total'!AR51),'2. Estimación absorción total'!AR51,"")</f>
        <v/>
      </c>
      <c r="AB25" s="691"/>
      <c r="AC25" s="210" t="str">
        <f t="shared" si="9"/>
        <v/>
      </c>
      <c r="AD25" s="459"/>
      <c r="AE25" s="308" t="str">
        <f t="shared" si="10"/>
        <v/>
      </c>
      <c r="AF25" s="308" t="str">
        <f t="shared" si="0"/>
        <v/>
      </c>
      <c r="AG25" s="308" t="str">
        <f t="shared" si="1"/>
        <v/>
      </c>
      <c r="AH25" s="308" t="str">
        <f t="shared" si="2"/>
        <v/>
      </c>
      <c r="AI25" s="308" t="str">
        <f t="shared" si="3"/>
        <v/>
      </c>
      <c r="AK25" s="308" t="str">
        <f t="shared" si="4"/>
        <v/>
      </c>
      <c r="AL25" s="308" t="str">
        <f t="shared" si="5"/>
        <v/>
      </c>
      <c r="AM25" s="308" t="str">
        <f t="shared" si="6"/>
        <v/>
      </c>
      <c r="AN25" s="308" t="str">
        <f t="shared" si="7"/>
        <v/>
      </c>
      <c r="AO25" s="308" t="str">
        <f t="shared" si="8"/>
        <v/>
      </c>
    </row>
    <row r="26" spans="1:47" hidden="1" x14ac:dyDescent="0.3">
      <c r="A26" s="430"/>
      <c r="B26" s="430"/>
      <c r="C26" s="430"/>
      <c r="D26" s="706" t="str">
        <f>IF(ISTEXT('2. Estimación absorción total'!D28),'2. Estimación absorción total'!D28,"")</f>
        <v/>
      </c>
      <c r="E26" s="706"/>
      <c r="F26" s="706"/>
      <c r="G26" s="706"/>
      <c r="H26" s="706"/>
      <c r="I26" s="706"/>
      <c r="J26" s="226" t="str">
        <f>IF(ISNUMBER('2. Estimación absorción total'!E28),'2. Estimación absorción total'!E28,"")</f>
        <v/>
      </c>
      <c r="K26" s="208" t="str">
        <f>IF(ISNUMBER('2. Estimación absorción total'!F28),'2. Estimación absorción total'!F28,"")</f>
        <v/>
      </c>
      <c r="L26" s="707" t="str">
        <f>IF(ISNUMBER('2. Estimación absorción total'!H28),'2. Estimación absorción total'!H28,"")</f>
        <v/>
      </c>
      <c r="M26" s="708"/>
      <c r="N26" s="231"/>
      <c r="O26" s="209" t="str">
        <f t="shared" si="11"/>
        <v/>
      </c>
      <c r="P26" s="323"/>
      <c r="Q26" s="675"/>
      <c r="R26" s="676"/>
      <c r="S26" s="430"/>
      <c r="T26" s="430"/>
      <c r="U26" s="694"/>
      <c r="V26" s="695"/>
      <c r="W26" s="226" t="str">
        <f>IF(ISNUMBER('2. Estimación absorción total'!E51),'2. Estimación absorción total'!E51,"")</f>
        <v/>
      </c>
      <c r="X26" s="208" t="str">
        <f>IF(ISNUMBER('2. Estimación absorción total'!H51),'2. Estimación absorción total'!H51,"")</f>
        <v/>
      </c>
      <c r="Y26" s="692" t="str">
        <f>IF(ISNUMBER('2. Estimación absorción total'!J51),'2. Estimación absorción total'!J51,"")</f>
        <v/>
      </c>
      <c r="Z26" s="693"/>
      <c r="AA26" s="690" t="str">
        <f>IF(ISNUMBER('2. Estimación absorción total'!AR52),'2. Estimación absorción total'!AR52,"")</f>
        <v/>
      </c>
      <c r="AB26" s="691"/>
      <c r="AC26" s="210" t="str">
        <f t="shared" si="9"/>
        <v/>
      </c>
      <c r="AD26" s="459"/>
      <c r="AE26" s="308" t="str">
        <f t="shared" si="10"/>
        <v/>
      </c>
      <c r="AF26" s="308" t="str">
        <f t="shared" si="0"/>
        <v/>
      </c>
      <c r="AG26" s="308" t="str">
        <f t="shared" si="1"/>
        <v/>
      </c>
      <c r="AH26" s="308" t="str">
        <f t="shared" si="2"/>
        <v/>
      </c>
      <c r="AI26" s="308" t="str">
        <f t="shared" si="3"/>
        <v/>
      </c>
      <c r="AK26" s="308" t="str">
        <f t="shared" si="4"/>
        <v/>
      </c>
      <c r="AL26" s="308" t="str">
        <f t="shared" si="5"/>
        <v/>
      </c>
      <c r="AM26" s="308" t="str">
        <f t="shared" si="6"/>
        <v/>
      </c>
      <c r="AN26" s="308" t="str">
        <f t="shared" si="7"/>
        <v/>
      </c>
      <c r="AO26" s="308" t="str">
        <f t="shared" si="8"/>
        <v/>
      </c>
    </row>
    <row r="27" spans="1:47" hidden="1" x14ac:dyDescent="0.3">
      <c r="A27" s="430"/>
      <c r="B27" s="430"/>
      <c r="C27" s="430"/>
      <c r="D27" s="706" t="str">
        <f>IF(ISTEXT('2. Estimación absorción total'!D29),'2. Estimación absorción total'!D29,"")</f>
        <v/>
      </c>
      <c r="E27" s="706"/>
      <c r="F27" s="706"/>
      <c r="G27" s="706"/>
      <c r="H27" s="706"/>
      <c r="I27" s="706"/>
      <c r="J27" s="226" t="str">
        <f>IF(ISNUMBER('2. Estimación absorción total'!E29),'2. Estimación absorción total'!E29,"")</f>
        <v/>
      </c>
      <c r="K27" s="208" t="str">
        <f>IF(ISNUMBER('2. Estimación absorción total'!F29),'2. Estimación absorción total'!F29,"")</f>
        <v/>
      </c>
      <c r="L27" s="707" t="str">
        <f>IF(ISNUMBER('2. Estimación absorción total'!H29),'2. Estimación absorción total'!H29,"")</f>
        <v/>
      </c>
      <c r="M27" s="708"/>
      <c r="N27" s="231"/>
      <c r="O27" s="209" t="str">
        <f t="shared" si="11"/>
        <v/>
      </c>
      <c r="P27" s="323"/>
      <c r="Q27" s="675"/>
      <c r="R27" s="676"/>
      <c r="S27" s="430"/>
      <c r="T27" s="430"/>
      <c r="U27" s="694"/>
      <c r="V27" s="695"/>
      <c r="W27" s="226" t="str">
        <f>IF(ISNUMBER('2. Estimación absorción total'!E52),'2. Estimación absorción total'!E52,"")</f>
        <v/>
      </c>
      <c r="X27" s="208" t="str">
        <f>IF(ISNUMBER('2. Estimación absorción total'!H52),'2. Estimación absorción total'!H52,"")</f>
        <v/>
      </c>
      <c r="Y27" s="692" t="str">
        <f>IF(ISNUMBER('2. Estimación absorción total'!J52),'2. Estimación absorción total'!J52,"")</f>
        <v/>
      </c>
      <c r="Z27" s="693"/>
      <c r="AA27" s="690" t="str">
        <f>IF(ISNUMBER('2. Estimación absorción total'!AR53),'2. Estimación absorción total'!AR53,"")</f>
        <v/>
      </c>
      <c r="AB27" s="691"/>
      <c r="AC27" s="210" t="str">
        <f t="shared" si="9"/>
        <v/>
      </c>
      <c r="AD27" s="459"/>
      <c r="AE27" s="308" t="str">
        <f t="shared" si="10"/>
        <v/>
      </c>
      <c r="AF27" s="308" t="str">
        <f t="shared" si="0"/>
        <v/>
      </c>
      <c r="AG27" s="308" t="str">
        <f t="shared" si="1"/>
        <v/>
      </c>
      <c r="AH27" s="308" t="str">
        <f t="shared" si="2"/>
        <v/>
      </c>
      <c r="AI27" s="308" t="str">
        <f t="shared" si="3"/>
        <v/>
      </c>
      <c r="AK27" s="308" t="str">
        <f t="shared" si="4"/>
        <v/>
      </c>
      <c r="AL27" s="308" t="str">
        <f t="shared" si="5"/>
        <v/>
      </c>
      <c r="AM27" s="308" t="str">
        <f t="shared" si="6"/>
        <v/>
      </c>
      <c r="AN27" s="308" t="str">
        <f t="shared" si="7"/>
        <v/>
      </c>
      <c r="AO27" s="308" t="str">
        <f t="shared" si="8"/>
        <v/>
      </c>
    </row>
    <row r="28" spans="1:47" hidden="1" x14ac:dyDescent="0.3">
      <c r="A28" s="430"/>
      <c r="B28" s="430"/>
      <c r="C28" s="430"/>
      <c r="D28" s="706" t="str">
        <f>IF(ISTEXT('2. Estimación absorción total'!D30),'2. Estimación absorción total'!D30,"")</f>
        <v/>
      </c>
      <c r="E28" s="706"/>
      <c r="F28" s="706"/>
      <c r="G28" s="706"/>
      <c r="H28" s="706"/>
      <c r="I28" s="706"/>
      <c r="J28" s="226" t="str">
        <f>IF(ISNUMBER('2. Estimación absorción total'!E30),'2. Estimación absorción total'!E30,"")</f>
        <v/>
      </c>
      <c r="K28" s="208" t="str">
        <f>IF(ISNUMBER('2. Estimación absorción total'!F30),'2. Estimación absorción total'!F30,"")</f>
        <v/>
      </c>
      <c r="L28" s="707" t="str">
        <f>IF(ISNUMBER('2. Estimación absorción total'!H30),'2. Estimación absorción total'!H30,"")</f>
        <v/>
      </c>
      <c r="M28" s="708"/>
      <c r="N28" s="231"/>
      <c r="O28" s="209" t="str">
        <f t="shared" si="11"/>
        <v/>
      </c>
      <c r="P28" s="323"/>
      <c r="Q28" s="675"/>
      <c r="R28" s="676"/>
      <c r="S28" s="430"/>
      <c r="T28" s="430"/>
      <c r="U28" s="694"/>
      <c r="V28" s="695"/>
      <c r="W28" s="226" t="str">
        <f>IF(ISNUMBER('2. Estimación absorción total'!E53),'2. Estimación absorción total'!E53,"")</f>
        <v/>
      </c>
      <c r="X28" s="208" t="str">
        <f>IF(ISNUMBER('2. Estimación absorción total'!H53),'2. Estimación absorción total'!H53,"")</f>
        <v/>
      </c>
      <c r="Y28" s="692" t="str">
        <f>IF(ISNUMBER('2. Estimación absorción total'!J53),'2. Estimación absorción total'!J53,"")</f>
        <v/>
      </c>
      <c r="Z28" s="693"/>
      <c r="AA28" s="690" t="str">
        <f>IF(ISNUMBER('2. Estimación absorción total'!AR54),'2. Estimación absorción total'!AR54,"")</f>
        <v/>
      </c>
      <c r="AB28" s="691"/>
      <c r="AC28" s="210" t="str">
        <f t="shared" si="9"/>
        <v/>
      </c>
      <c r="AD28" s="459"/>
      <c r="AE28" s="308" t="str">
        <f t="shared" si="10"/>
        <v/>
      </c>
      <c r="AF28" s="308" t="str">
        <f t="shared" si="0"/>
        <v/>
      </c>
      <c r="AG28" s="308" t="str">
        <f t="shared" si="1"/>
        <v/>
      </c>
      <c r="AH28" s="308" t="str">
        <f t="shared" si="2"/>
        <v/>
      </c>
      <c r="AI28" s="308" t="str">
        <f t="shared" si="3"/>
        <v/>
      </c>
      <c r="AK28" s="308" t="str">
        <f t="shared" si="4"/>
        <v/>
      </c>
      <c r="AL28" s="308" t="str">
        <f t="shared" si="5"/>
        <v/>
      </c>
      <c r="AM28" s="308" t="str">
        <f t="shared" si="6"/>
        <v/>
      </c>
      <c r="AN28" s="308" t="str">
        <f t="shared" si="7"/>
        <v/>
      </c>
      <c r="AO28" s="308" t="str">
        <f t="shared" si="8"/>
        <v/>
      </c>
    </row>
    <row r="29" spans="1:47" hidden="1" x14ac:dyDescent="0.3">
      <c r="A29" s="430"/>
      <c r="B29" s="430"/>
      <c r="C29" s="430"/>
      <c r="D29" s="706" t="str">
        <f>IF(ISTEXT('2. Estimación absorción total'!D31),'2. Estimación absorción total'!D31,"")</f>
        <v/>
      </c>
      <c r="E29" s="706"/>
      <c r="F29" s="706"/>
      <c r="G29" s="706"/>
      <c r="H29" s="706"/>
      <c r="I29" s="706"/>
      <c r="J29" s="226" t="str">
        <f>IF(ISNUMBER('2. Estimación absorción total'!E31),'2. Estimación absorción total'!E31,"")</f>
        <v/>
      </c>
      <c r="K29" s="208" t="str">
        <f>IF(ISNUMBER('2. Estimación absorción total'!F31),'2. Estimación absorción total'!F31,"")</f>
        <v/>
      </c>
      <c r="L29" s="707" t="str">
        <f>IF(ISNUMBER('2. Estimación absorción total'!H31),'2. Estimación absorción total'!H31,"")</f>
        <v/>
      </c>
      <c r="M29" s="708"/>
      <c r="N29" s="231"/>
      <c r="O29" s="209" t="str">
        <f t="shared" si="11"/>
        <v/>
      </c>
      <c r="P29" s="323"/>
      <c r="Q29" s="675"/>
      <c r="R29" s="676"/>
      <c r="S29" s="430"/>
      <c r="T29" s="430"/>
      <c r="U29" s="694"/>
      <c r="V29" s="695"/>
      <c r="W29" s="226" t="str">
        <f>IF(ISNUMBER('2. Estimación absorción total'!E54),'2. Estimación absorción total'!E54,"")</f>
        <v/>
      </c>
      <c r="X29" s="208" t="str">
        <f>IF(ISNUMBER('2. Estimación absorción total'!H54),'2. Estimación absorción total'!H54,"")</f>
        <v/>
      </c>
      <c r="Y29" s="692" t="str">
        <f>IF(ISNUMBER('2. Estimación absorción total'!J54),'2. Estimación absorción total'!J54,"")</f>
        <v/>
      </c>
      <c r="Z29" s="693"/>
      <c r="AA29" s="690" t="str">
        <f>IF(ISNUMBER('2. Estimación absorción total'!AR55),'2. Estimación absorción total'!AR55,"")</f>
        <v/>
      </c>
      <c r="AB29" s="691"/>
      <c r="AC29" s="210" t="str">
        <f t="shared" si="9"/>
        <v/>
      </c>
      <c r="AD29" s="459"/>
      <c r="AE29" s="308" t="str">
        <f t="shared" si="10"/>
        <v/>
      </c>
      <c r="AF29" s="308" t="str">
        <f t="shared" si="0"/>
        <v/>
      </c>
      <c r="AG29" s="308" t="str">
        <f t="shared" si="1"/>
        <v/>
      </c>
      <c r="AH29" s="308" t="str">
        <f t="shared" si="2"/>
        <v/>
      </c>
      <c r="AI29" s="308" t="str">
        <f t="shared" si="3"/>
        <v/>
      </c>
      <c r="AK29" s="308" t="str">
        <f t="shared" si="4"/>
        <v/>
      </c>
      <c r="AL29" s="308" t="str">
        <f t="shared" si="5"/>
        <v/>
      </c>
      <c r="AM29" s="308" t="str">
        <f t="shared" si="6"/>
        <v/>
      </c>
      <c r="AN29" s="308" t="str">
        <f t="shared" si="7"/>
        <v/>
      </c>
      <c r="AO29" s="308" t="str">
        <f t="shared" si="8"/>
        <v/>
      </c>
    </row>
    <row r="30" spans="1:47" hidden="1" x14ac:dyDescent="0.3">
      <c r="A30" s="430"/>
      <c r="B30" s="430"/>
      <c r="C30" s="430"/>
      <c r="D30" s="706" t="str">
        <f>IF(ISTEXT('2. Estimación absorción total'!D32),'2. Estimación absorción total'!D32,"")</f>
        <v/>
      </c>
      <c r="E30" s="706"/>
      <c r="F30" s="706"/>
      <c r="G30" s="706"/>
      <c r="H30" s="706"/>
      <c r="I30" s="706"/>
      <c r="J30" s="226" t="str">
        <f>IF(ISNUMBER('2. Estimación absorción total'!E32),'2. Estimación absorción total'!E32,"")</f>
        <v/>
      </c>
      <c r="K30" s="208" t="str">
        <f>IF(ISNUMBER('2. Estimación absorción total'!F32),'2. Estimación absorción total'!F32,"")</f>
        <v/>
      </c>
      <c r="L30" s="707" t="str">
        <f>IF(ISNUMBER('2. Estimación absorción total'!H32),'2. Estimación absorción total'!H32,"")</f>
        <v/>
      </c>
      <c r="M30" s="708"/>
      <c r="N30" s="231"/>
      <c r="O30" s="209" t="str">
        <f t="shared" si="11"/>
        <v/>
      </c>
      <c r="P30" s="323"/>
      <c r="Q30" s="675"/>
      <c r="R30" s="676"/>
      <c r="S30" s="430"/>
      <c r="T30" s="430"/>
      <c r="U30" s="694"/>
      <c r="V30" s="695"/>
      <c r="W30" s="226" t="str">
        <f>IF(ISNUMBER('2. Estimación absorción total'!E55),'2. Estimación absorción total'!E55,"")</f>
        <v/>
      </c>
      <c r="X30" s="208" t="str">
        <f>IF(ISNUMBER('2. Estimación absorción total'!H55),'2. Estimación absorción total'!H55,"")</f>
        <v/>
      </c>
      <c r="Y30" s="692" t="str">
        <f>IF(ISNUMBER('2. Estimación absorción total'!J55),'2. Estimación absorción total'!J55,"")</f>
        <v/>
      </c>
      <c r="Z30" s="693"/>
      <c r="AA30" s="690" t="str">
        <f>IF(ISNUMBER('2. Estimación absorción total'!AR56),'2. Estimación absorción total'!AR56,"")</f>
        <v/>
      </c>
      <c r="AB30" s="691"/>
      <c r="AC30" s="210" t="str">
        <f t="shared" si="9"/>
        <v/>
      </c>
      <c r="AD30" s="459"/>
      <c r="AE30" s="308" t="str">
        <f t="shared" si="10"/>
        <v/>
      </c>
      <c r="AF30" s="308" t="str">
        <f t="shared" si="0"/>
        <v/>
      </c>
      <c r="AG30" s="308" t="str">
        <f t="shared" si="1"/>
        <v/>
      </c>
      <c r="AH30" s="308" t="str">
        <f t="shared" si="2"/>
        <v/>
      </c>
      <c r="AI30" s="308" t="str">
        <f t="shared" si="3"/>
        <v/>
      </c>
      <c r="AK30" s="308" t="str">
        <f t="shared" si="4"/>
        <v/>
      </c>
      <c r="AL30" s="308" t="str">
        <f t="shared" si="5"/>
        <v/>
      </c>
      <c r="AM30" s="308" t="str">
        <f t="shared" si="6"/>
        <v/>
      </c>
      <c r="AN30" s="308" t="str">
        <f t="shared" si="7"/>
        <v/>
      </c>
      <c r="AO30" s="308" t="str">
        <f t="shared" si="8"/>
        <v/>
      </c>
    </row>
    <row r="31" spans="1:47" hidden="1" x14ac:dyDescent="0.3">
      <c r="A31" s="430"/>
      <c r="B31" s="430"/>
      <c r="C31" s="430"/>
      <c r="D31" s="706" t="str">
        <f>IF(ISTEXT('2. Estimación absorción total'!D33),'2. Estimación absorción total'!D33,"")</f>
        <v/>
      </c>
      <c r="E31" s="706"/>
      <c r="F31" s="706"/>
      <c r="G31" s="706"/>
      <c r="H31" s="706"/>
      <c r="I31" s="706"/>
      <c r="J31" s="226" t="str">
        <f>IF(ISNUMBER('2. Estimación absorción total'!E33),'2. Estimación absorción total'!E33,"")</f>
        <v/>
      </c>
      <c r="K31" s="208" t="str">
        <f>IF(ISNUMBER('2. Estimación absorción total'!F33),'2. Estimación absorción total'!F33,"")</f>
        <v/>
      </c>
      <c r="L31" s="707" t="str">
        <f>IF(ISNUMBER('2. Estimación absorción total'!H33),'2. Estimación absorción total'!H33,"")</f>
        <v/>
      </c>
      <c r="M31" s="708"/>
      <c r="N31" s="231"/>
      <c r="O31" s="209" t="str">
        <f t="shared" si="11"/>
        <v/>
      </c>
      <c r="P31" s="323"/>
      <c r="Q31" s="675"/>
      <c r="R31" s="676"/>
      <c r="S31" s="430"/>
      <c r="T31" s="430"/>
      <c r="U31" s="694"/>
      <c r="V31" s="695"/>
      <c r="W31" s="226" t="str">
        <f>IF(ISNUMBER('2. Estimación absorción total'!E56),'2. Estimación absorción total'!E56,"")</f>
        <v/>
      </c>
      <c r="X31" s="208" t="str">
        <f>IF(ISNUMBER('2. Estimación absorción total'!H56),'2. Estimación absorción total'!H56,"")</f>
        <v/>
      </c>
      <c r="Y31" s="692" t="str">
        <f>IF(ISNUMBER('2. Estimación absorción total'!J56),'2. Estimación absorción total'!J56,"")</f>
        <v/>
      </c>
      <c r="Z31" s="693"/>
      <c r="AA31" s="690" t="str">
        <f>IF(ISNUMBER('2. Estimación absorción total'!AR57),'2. Estimación absorción total'!AR57,"")</f>
        <v/>
      </c>
      <c r="AB31" s="691"/>
      <c r="AC31" s="210" t="str">
        <f t="shared" si="9"/>
        <v/>
      </c>
      <c r="AD31" s="459"/>
      <c r="AE31" s="308" t="str">
        <f t="shared" si="10"/>
        <v/>
      </c>
      <c r="AF31" s="308" t="str">
        <f t="shared" si="0"/>
        <v/>
      </c>
      <c r="AG31" s="308" t="str">
        <f t="shared" si="1"/>
        <v/>
      </c>
      <c r="AH31" s="308" t="str">
        <f t="shared" si="2"/>
        <v/>
      </c>
      <c r="AI31" s="308" t="str">
        <f t="shared" si="3"/>
        <v/>
      </c>
      <c r="AK31" s="308" t="str">
        <f t="shared" si="4"/>
        <v/>
      </c>
      <c r="AL31" s="308" t="str">
        <f t="shared" si="5"/>
        <v/>
      </c>
      <c r="AM31" s="308" t="str">
        <f t="shared" si="6"/>
        <v/>
      </c>
      <c r="AN31" s="308" t="str">
        <f t="shared" si="7"/>
        <v/>
      </c>
      <c r="AO31" s="308" t="str">
        <f t="shared" si="8"/>
        <v/>
      </c>
    </row>
    <row r="32" spans="1:47" hidden="1" x14ac:dyDescent="0.3">
      <c r="A32" s="430"/>
      <c r="B32" s="430"/>
      <c r="C32" s="430"/>
      <c r="D32" s="706" t="str">
        <f>IF(ISTEXT('2. Estimación absorción total'!D34),'2. Estimación absorción total'!D34,"")</f>
        <v/>
      </c>
      <c r="E32" s="706"/>
      <c r="F32" s="706"/>
      <c r="G32" s="706"/>
      <c r="H32" s="706"/>
      <c r="I32" s="706"/>
      <c r="J32" s="226" t="str">
        <f>IF(ISNUMBER('2. Estimación absorción total'!E34),'2. Estimación absorción total'!E34,"")</f>
        <v/>
      </c>
      <c r="K32" s="208" t="str">
        <f>IF(ISNUMBER('2. Estimación absorción total'!F34),'2. Estimación absorción total'!F34,"")</f>
        <v/>
      </c>
      <c r="L32" s="707" t="str">
        <f>IF(ISNUMBER('2. Estimación absorción total'!H34),'2. Estimación absorción total'!H34,"")</f>
        <v/>
      </c>
      <c r="M32" s="708"/>
      <c r="N32" s="231"/>
      <c r="O32" s="209" t="str">
        <f t="shared" si="11"/>
        <v/>
      </c>
      <c r="P32" s="209"/>
      <c r="Q32" s="711"/>
      <c r="R32" s="712"/>
      <c r="S32" s="430"/>
      <c r="T32" s="430"/>
      <c r="U32" s="694"/>
      <c r="V32" s="695"/>
      <c r="W32" s="226" t="str">
        <f>IF(ISNUMBER('2. Estimación absorción total'!E57),'2. Estimación absorción total'!E57,"")</f>
        <v/>
      </c>
      <c r="X32" s="208" t="str">
        <f>IF(ISNUMBER('2. Estimación absorción total'!H57),'2. Estimación absorción total'!H57,"")</f>
        <v/>
      </c>
      <c r="Y32" s="692" t="str">
        <f>IF(ISNUMBER('2. Estimación absorción total'!J57),'2. Estimación absorción total'!J57,"")</f>
        <v/>
      </c>
      <c r="Z32" s="693"/>
      <c r="AA32" s="690" t="str">
        <f>IF(ISNUMBER('2. Estimación absorción total'!AR58),'2. Estimación absorción total'!AR58,"")</f>
        <v/>
      </c>
      <c r="AB32" s="691"/>
      <c r="AC32" s="210" t="str">
        <f t="shared" si="9"/>
        <v/>
      </c>
      <c r="AD32" s="459"/>
      <c r="AE32" s="227">
        <f>SUM(AE17:AE31)</f>
        <v>0</v>
      </c>
      <c r="AF32" s="227">
        <f>SUM(AF17:AF31)</f>
        <v>0</v>
      </c>
      <c r="AG32" s="227">
        <f>SUM(AG17:AG31)</f>
        <v>0</v>
      </c>
      <c r="AH32" s="227">
        <f>SUM(AH17:AH31)</f>
        <v>0</v>
      </c>
      <c r="AI32" s="227">
        <f>SUM(AI17:AI31)</f>
        <v>0</v>
      </c>
      <c r="AK32" s="227">
        <f>SUM(AK17:AK31)</f>
        <v>0</v>
      </c>
      <c r="AL32" s="227">
        <f>SUM(AL17:AL31)</f>
        <v>0</v>
      </c>
      <c r="AM32" s="227">
        <f>SUM(AM17:AM31)</f>
        <v>0</v>
      </c>
      <c r="AN32" s="227">
        <f>SUM(AN17:AN31)</f>
        <v>0</v>
      </c>
      <c r="AO32" s="227">
        <f>SUM(AO17:AO31)</f>
        <v>0</v>
      </c>
    </row>
    <row r="33" spans="1:47" s="430" customFormat="1" hidden="1" x14ac:dyDescent="0.3">
      <c r="AD33" s="459"/>
    </row>
    <row r="34" spans="1:47" hidden="1" x14ac:dyDescent="0.3">
      <c r="A34" s="430"/>
      <c r="B34" s="430"/>
      <c r="C34" s="430"/>
      <c r="D34" s="727" t="s">
        <v>395</v>
      </c>
      <c r="E34" s="727"/>
      <c r="F34" s="727"/>
      <c r="G34" s="727"/>
      <c r="H34" s="727"/>
      <c r="I34" s="727"/>
      <c r="J34" s="727"/>
      <c r="K34" s="727"/>
      <c r="L34" s="727"/>
      <c r="M34" s="727"/>
      <c r="N34" s="727"/>
      <c r="O34" s="727"/>
      <c r="P34" s="727"/>
      <c r="Q34" s="727"/>
      <c r="R34" s="727"/>
      <c r="S34" s="727"/>
      <c r="T34" s="727"/>
      <c r="U34" s="727"/>
      <c r="V34" s="727"/>
      <c r="W34" s="727"/>
      <c r="X34" s="727"/>
      <c r="Y34" s="727"/>
      <c r="Z34" s="727"/>
      <c r="AA34" s="727"/>
      <c r="AB34" s="727"/>
      <c r="AC34" s="502"/>
      <c r="AD34" s="459"/>
    </row>
    <row r="35" spans="1:47" s="430" customFormat="1" hidden="1" x14ac:dyDescent="0.3">
      <c r="AD35" s="459"/>
    </row>
    <row r="36" spans="1:47" hidden="1" x14ac:dyDescent="0.3">
      <c r="A36" s="430"/>
      <c r="B36" s="430"/>
      <c r="C36" s="430"/>
      <c r="D36" s="430"/>
      <c r="E36" s="430"/>
      <c r="F36" s="430"/>
      <c r="G36" s="430"/>
      <c r="H36" s="430"/>
      <c r="I36" s="430"/>
      <c r="J36" s="430"/>
      <c r="K36" s="430"/>
      <c r="L36" s="430"/>
      <c r="M36" s="430"/>
      <c r="N36" s="728" t="s">
        <v>394</v>
      </c>
      <c r="O36" s="730" t="s">
        <v>396</v>
      </c>
      <c r="P36" s="731"/>
      <c r="Q36" s="732"/>
      <c r="R36" s="430"/>
      <c r="S36" s="430"/>
      <c r="T36" s="430"/>
      <c r="U36" s="430"/>
      <c r="V36" s="430"/>
      <c r="W36" s="430"/>
      <c r="X36" s="430"/>
      <c r="Y36" s="430"/>
      <c r="Z36" s="430"/>
      <c r="AA36" s="430"/>
      <c r="AB36" s="430"/>
      <c r="AC36" s="430"/>
      <c r="AD36" s="459"/>
      <c r="AE36" s="430"/>
      <c r="AF36" s="430"/>
      <c r="AG36" s="430"/>
      <c r="AH36" s="430"/>
      <c r="AI36" s="430"/>
      <c r="AJ36" s="430"/>
      <c r="AK36" s="430"/>
      <c r="AL36" s="430"/>
      <c r="AM36" s="430"/>
      <c r="AN36" s="430"/>
      <c r="AO36" s="430"/>
      <c r="AP36" s="430"/>
      <c r="AQ36" s="430"/>
      <c r="AR36" s="430"/>
      <c r="AS36" s="430"/>
      <c r="AT36" s="430"/>
      <c r="AU36" s="430"/>
    </row>
    <row r="37" spans="1:47" hidden="1" x14ac:dyDescent="0.3">
      <c r="A37" s="430"/>
      <c r="B37" s="430"/>
      <c r="C37" s="430"/>
      <c r="D37" s="430"/>
      <c r="E37" s="733" t="s">
        <v>465</v>
      </c>
      <c r="F37" s="734"/>
      <c r="G37" s="734"/>
      <c r="H37" s="734"/>
      <c r="I37" s="734"/>
      <c r="J37" s="734"/>
      <c r="K37" s="734"/>
      <c r="L37" s="734"/>
      <c r="M37" s="735"/>
      <c r="N37" s="729"/>
      <c r="O37" s="423" t="s">
        <v>374</v>
      </c>
      <c r="P37" s="424"/>
      <c r="Q37" s="424" t="s">
        <v>373</v>
      </c>
      <c r="R37" s="430"/>
      <c r="S37" s="430"/>
      <c r="T37" s="430"/>
      <c r="U37" s="430"/>
      <c r="V37" s="430"/>
      <c r="W37" s="430"/>
      <c r="X37" s="430"/>
      <c r="Y37" s="430"/>
      <c r="Z37" s="430"/>
      <c r="AA37" s="430"/>
      <c r="AB37" s="430"/>
      <c r="AC37" s="430"/>
      <c r="AD37" s="459"/>
      <c r="AE37" s="430"/>
      <c r="AF37" s="430"/>
      <c r="AG37" s="430"/>
      <c r="AH37" s="430"/>
      <c r="AI37" s="430"/>
      <c r="AJ37" s="430"/>
      <c r="AK37" s="430"/>
      <c r="AL37" s="430"/>
      <c r="AM37" s="430"/>
      <c r="AN37" s="430"/>
      <c r="AO37" s="430"/>
      <c r="AP37" s="430"/>
      <c r="AQ37" s="430"/>
      <c r="AR37" s="430"/>
      <c r="AS37" s="430"/>
      <c r="AT37" s="430"/>
      <c r="AU37" s="430"/>
    </row>
    <row r="38" spans="1:47" hidden="1" x14ac:dyDescent="0.3">
      <c r="A38" s="430"/>
      <c r="B38" s="430"/>
      <c r="C38" s="430"/>
      <c r="D38" s="430"/>
      <c r="E38" s="736" t="s">
        <v>393</v>
      </c>
      <c r="F38" s="737"/>
      <c r="G38" s="737"/>
      <c r="H38" s="737"/>
      <c r="I38" s="737"/>
      <c r="J38" s="737"/>
      <c r="K38" s="737"/>
      <c r="L38" s="737"/>
      <c r="M38" s="738"/>
      <c r="N38" s="232">
        <f>SUM(O38+Q38)</f>
        <v>0</v>
      </c>
      <c r="O38" s="309">
        <f>IF(ISNUMBER(SUM(L18:M32)),SUM(L18:M32),"")</f>
        <v>0</v>
      </c>
      <c r="P38" s="309"/>
      <c r="Q38" s="309">
        <f>IF(ISNUMBER(SUM(Y18:Z32)),SUM(Y18:Z32),"")</f>
        <v>0</v>
      </c>
      <c r="R38" s="430"/>
      <c r="S38" s="430"/>
      <c r="T38" s="430"/>
      <c r="U38" s="430"/>
      <c r="V38" s="430"/>
      <c r="W38" s="430"/>
      <c r="X38" s="430"/>
      <c r="Y38" s="430"/>
      <c r="Z38" s="430"/>
      <c r="AA38" s="430"/>
      <c r="AB38" s="430"/>
      <c r="AC38" s="430"/>
      <c r="AD38" s="459"/>
      <c r="AE38" s="430"/>
      <c r="AF38" s="430"/>
      <c r="AG38" s="430"/>
      <c r="AH38" s="430"/>
      <c r="AI38" s="430"/>
      <c r="AJ38" s="430"/>
      <c r="AK38" s="430"/>
      <c r="AL38" s="430"/>
      <c r="AM38" s="430"/>
      <c r="AN38" s="430"/>
      <c r="AO38" s="430"/>
      <c r="AP38" s="430"/>
      <c r="AQ38" s="430"/>
      <c r="AR38" s="430"/>
      <c r="AS38" s="430"/>
      <c r="AT38" s="430"/>
      <c r="AU38" s="430"/>
    </row>
    <row r="39" spans="1:47" hidden="1" x14ac:dyDescent="0.3">
      <c r="A39" s="430"/>
      <c r="B39" s="430"/>
      <c r="C39" s="430"/>
      <c r="D39" s="430"/>
      <c r="E39" s="739" t="s">
        <v>392</v>
      </c>
      <c r="F39" s="740"/>
      <c r="G39" s="740"/>
      <c r="H39" s="740"/>
      <c r="I39" s="740"/>
      <c r="J39" s="740"/>
      <c r="K39" s="740"/>
      <c r="L39" s="740"/>
      <c r="M39" s="741"/>
      <c r="N39" s="512">
        <f>SUM(O39+Q39)</f>
        <v>0</v>
      </c>
      <c r="O39" s="513">
        <f>IF(ISNUMBER(O38),O38*0.2,"")</f>
        <v>0</v>
      </c>
      <c r="P39" s="513"/>
      <c r="Q39" s="513">
        <f>IF(ISNUMBER(Q38),Q38*0.2,"")</f>
        <v>0</v>
      </c>
      <c r="R39" s="430"/>
      <c r="S39" s="430"/>
      <c r="T39" s="430"/>
      <c r="U39" s="430"/>
      <c r="V39" s="430"/>
      <c r="W39" s="430"/>
      <c r="X39" s="430"/>
      <c r="Y39" s="430"/>
      <c r="Z39" s="430"/>
      <c r="AA39" s="430"/>
      <c r="AB39" s="430"/>
      <c r="AC39" s="430"/>
      <c r="AD39" s="459"/>
      <c r="AE39" s="430"/>
      <c r="AF39" s="430"/>
      <c r="AG39" s="430"/>
      <c r="AH39" s="430"/>
      <c r="AI39" s="430"/>
      <c r="AJ39" s="430"/>
      <c r="AK39" s="430"/>
      <c r="AL39" s="430"/>
      <c r="AM39" s="430"/>
      <c r="AN39" s="430"/>
      <c r="AO39" s="430"/>
      <c r="AP39" s="430"/>
      <c r="AQ39" s="430"/>
      <c r="AR39" s="430"/>
      <c r="AS39" s="430"/>
      <c r="AT39" s="430"/>
      <c r="AU39" s="430"/>
    </row>
    <row r="40" spans="1:47" s="430" customFormat="1" ht="17.25" hidden="1" thickBot="1" x14ac:dyDescent="0.35">
      <c r="AD40" s="459"/>
    </row>
    <row r="41" spans="1:47" hidden="1" x14ac:dyDescent="0.3">
      <c r="A41" s="430"/>
      <c r="B41" s="430"/>
      <c r="C41" s="430"/>
      <c r="D41" s="541" t="s">
        <v>667</v>
      </c>
      <c r="E41" s="542"/>
      <c r="F41" s="542"/>
      <c r="G41" s="542"/>
      <c r="H41" s="542"/>
      <c r="I41" s="542"/>
      <c r="J41" s="542"/>
      <c r="K41" s="542"/>
      <c r="L41" s="542"/>
      <c r="M41" s="542"/>
      <c r="N41" s="542"/>
      <c r="O41" s="542"/>
      <c r="P41" s="542"/>
      <c r="Q41" s="542"/>
      <c r="R41" s="542"/>
      <c r="S41" s="542"/>
      <c r="T41" s="542"/>
      <c r="U41" s="542"/>
      <c r="V41" s="542"/>
      <c r="W41" s="542"/>
      <c r="X41" s="542"/>
      <c r="Y41" s="542"/>
      <c r="Z41" s="542"/>
      <c r="AA41" s="542"/>
      <c r="AB41" s="542"/>
      <c r="AC41" s="543"/>
      <c r="AD41" s="459"/>
      <c r="AE41" s="430"/>
      <c r="AF41" s="430"/>
      <c r="AG41" s="430"/>
      <c r="AH41" s="430"/>
      <c r="AI41" s="430"/>
      <c r="AJ41" s="430"/>
      <c r="AK41" s="430"/>
      <c r="AL41" s="430"/>
      <c r="AM41" s="430"/>
      <c r="AN41" s="430"/>
      <c r="AO41" s="430"/>
      <c r="AP41" s="430"/>
      <c r="AQ41" s="430"/>
      <c r="AR41" s="430"/>
      <c r="AS41" s="430"/>
      <c r="AT41" s="430"/>
      <c r="AU41" s="430"/>
    </row>
    <row r="42" spans="1:47" hidden="1" x14ac:dyDescent="0.3">
      <c r="A42" s="430"/>
      <c r="B42" s="430"/>
      <c r="C42" s="430"/>
      <c r="D42" s="544"/>
      <c r="E42" s="545"/>
      <c r="F42" s="545"/>
      <c r="G42" s="545"/>
      <c r="H42" s="545"/>
      <c r="I42" s="545"/>
      <c r="J42" s="545"/>
      <c r="K42" s="545"/>
      <c r="L42" s="545"/>
      <c r="M42" s="545"/>
      <c r="N42" s="545"/>
      <c r="O42" s="545"/>
      <c r="P42" s="545"/>
      <c r="Q42" s="545"/>
      <c r="R42" s="545"/>
      <c r="S42" s="545"/>
      <c r="T42" s="545"/>
      <c r="U42" s="545"/>
      <c r="V42" s="545"/>
      <c r="W42" s="545"/>
      <c r="X42" s="545"/>
      <c r="Y42" s="545"/>
      <c r="Z42" s="545"/>
      <c r="AA42" s="545"/>
      <c r="AB42" s="545"/>
      <c r="AC42" s="546"/>
      <c r="AD42" s="459"/>
      <c r="AE42" s="430"/>
      <c r="AF42" s="430"/>
      <c r="AG42" s="430"/>
      <c r="AH42" s="430"/>
      <c r="AI42" s="430"/>
      <c r="AJ42" s="430"/>
      <c r="AK42" s="430"/>
      <c r="AL42" s="430"/>
      <c r="AM42" s="430"/>
      <c r="AN42" s="430"/>
      <c r="AO42" s="430"/>
      <c r="AP42" s="430"/>
      <c r="AQ42" s="430"/>
      <c r="AR42" s="430"/>
      <c r="AS42" s="430"/>
      <c r="AT42" s="430"/>
      <c r="AU42" s="430"/>
    </row>
    <row r="43" spans="1:47" hidden="1" x14ac:dyDescent="0.3">
      <c r="A43" s="430"/>
      <c r="B43" s="430"/>
      <c r="C43" s="430"/>
      <c r="D43" s="544"/>
      <c r="E43" s="545"/>
      <c r="F43" s="545"/>
      <c r="G43" s="545"/>
      <c r="H43" s="545"/>
      <c r="I43" s="545"/>
      <c r="J43" s="545"/>
      <c r="K43" s="545"/>
      <c r="L43" s="545"/>
      <c r="M43" s="545"/>
      <c r="N43" s="545"/>
      <c r="O43" s="545"/>
      <c r="P43" s="545"/>
      <c r="Q43" s="545"/>
      <c r="R43" s="545"/>
      <c r="S43" s="545"/>
      <c r="T43" s="545"/>
      <c r="U43" s="545"/>
      <c r="V43" s="545"/>
      <c r="W43" s="545"/>
      <c r="X43" s="545"/>
      <c r="Y43" s="545"/>
      <c r="Z43" s="545"/>
      <c r="AA43" s="545"/>
      <c r="AB43" s="545"/>
      <c r="AC43" s="546"/>
      <c r="AD43" s="459"/>
      <c r="AE43" s="430"/>
      <c r="AF43" s="430"/>
      <c r="AG43" s="430"/>
      <c r="AH43" s="430"/>
      <c r="AI43" s="430"/>
      <c r="AJ43" s="430"/>
      <c r="AK43" s="430"/>
      <c r="AL43" s="430"/>
      <c r="AM43" s="430"/>
      <c r="AN43" s="430"/>
      <c r="AO43" s="430"/>
      <c r="AP43" s="430"/>
      <c r="AQ43" s="430"/>
      <c r="AR43" s="430"/>
      <c r="AS43" s="430"/>
      <c r="AT43" s="430"/>
      <c r="AU43" s="430"/>
    </row>
    <row r="44" spans="1:47" hidden="1" x14ac:dyDescent="0.3">
      <c r="A44" s="430"/>
      <c r="B44" s="430"/>
      <c r="C44" s="430"/>
      <c r="D44" s="544"/>
      <c r="E44" s="545"/>
      <c r="F44" s="545"/>
      <c r="G44" s="545"/>
      <c r="H44" s="545"/>
      <c r="I44" s="545"/>
      <c r="J44" s="545"/>
      <c r="K44" s="545"/>
      <c r="L44" s="545"/>
      <c r="M44" s="545"/>
      <c r="N44" s="545"/>
      <c r="O44" s="545"/>
      <c r="P44" s="545"/>
      <c r="Q44" s="545"/>
      <c r="R44" s="545"/>
      <c r="S44" s="545"/>
      <c r="T44" s="545"/>
      <c r="U44" s="545"/>
      <c r="V44" s="545"/>
      <c r="W44" s="545"/>
      <c r="X44" s="545"/>
      <c r="Y44" s="545"/>
      <c r="Z44" s="545"/>
      <c r="AA44" s="545"/>
      <c r="AB44" s="545"/>
      <c r="AC44" s="546"/>
      <c r="AD44" s="459"/>
      <c r="AE44" s="430"/>
      <c r="AF44" s="430"/>
      <c r="AG44" s="430"/>
      <c r="AH44" s="430"/>
      <c r="AI44" s="430"/>
      <c r="AJ44" s="430"/>
      <c r="AK44" s="430"/>
      <c r="AL44" s="430"/>
      <c r="AM44" s="430"/>
      <c r="AN44" s="430"/>
      <c r="AO44" s="430"/>
      <c r="AP44" s="430"/>
      <c r="AQ44" s="430"/>
      <c r="AR44" s="430"/>
      <c r="AS44" s="430"/>
      <c r="AT44" s="430"/>
      <c r="AU44" s="430"/>
    </row>
    <row r="45" spans="1:47" hidden="1" x14ac:dyDescent="0.3">
      <c r="A45" s="430"/>
      <c r="B45" s="430"/>
      <c r="C45" s="430"/>
      <c r="D45" s="544"/>
      <c r="E45" s="545"/>
      <c r="F45" s="545"/>
      <c r="G45" s="545"/>
      <c r="H45" s="545"/>
      <c r="I45" s="545"/>
      <c r="J45" s="545"/>
      <c r="K45" s="545"/>
      <c r="L45" s="545"/>
      <c r="M45" s="545"/>
      <c r="N45" s="545"/>
      <c r="O45" s="545"/>
      <c r="P45" s="545"/>
      <c r="Q45" s="545"/>
      <c r="R45" s="545"/>
      <c r="S45" s="545"/>
      <c r="T45" s="545"/>
      <c r="U45" s="545"/>
      <c r="V45" s="545"/>
      <c r="W45" s="545"/>
      <c r="X45" s="545"/>
      <c r="Y45" s="545"/>
      <c r="Z45" s="545"/>
      <c r="AA45" s="545"/>
      <c r="AB45" s="545"/>
      <c r="AC45" s="546"/>
      <c r="AD45" s="459"/>
      <c r="AE45" s="430"/>
      <c r="AF45" s="430"/>
      <c r="AG45" s="430"/>
      <c r="AH45" s="430"/>
      <c r="AI45" s="430"/>
      <c r="AJ45" s="430"/>
      <c r="AK45" s="430"/>
      <c r="AL45" s="430"/>
      <c r="AM45" s="430"/>
      <c r="AN45" s="430"/>
      <c r="AO45" s="430"/>
      <c r="AP45" s="430"/>
      <c r="AQ45" s="430"/>
      <c r="AR45" s="430"/>
      <c r="AS45" s="430"/>
      <c r="AT45" s="430"/>
      <c r="AU45" s="430"/>
    </row>
    <row r="46" spans="1:47" ht="17.25" hidden="1" thickBot="1" x14ac:dyDescent="0.35">
      <c r="A46" s="430"/>
      <c r="B46" s="430"/>
      <c r="C46" s="430"/>
      <c r="D46" s="547"/>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9"/>
      <c r="AD46" s="459"/>
      <c r="AE46" s="430"/>
      <c r="AF46" s="430"/>
      <c r="AG46" s="430"/>
      <c r="AH46" s="430"/>
      <c r="AI46" s="430"/>
      <c r="AJ46" s="430"/>
      <c r="AK46" s="430"/>
      <c r="AL46" s="430"/>
      <c r="AM46" s="430"/>
      <c r="AN46" s="430"/>
      <c r="AO46" s="430"/>
      <c r="AP46" s="430"/>
      <c r="AQ46" s="430"/>
      <c r="AR46" s="430"/>
      <c r="AS46" s="430"/>
      <c r="AT46" s="430"/>
      <c r="AU46" s="430"/>
    </row>
    <row r="47" spans="1:47" hidden="1" x14ac:dyDescent="0.3">
      <c r="A47" s="430"/>
      <c r="B47" s="430"/>
      <c r="C47" s="430"/>
      <c r="D47" s="430"/>
      <c r="E47" s="430"/>
      <c r="F47" s="430"/>
      <c r="G47" s="430"/>
      <c r="H47" s="430"/>
      <c r="I47" s="430" t="s">
        <v>473</v>
      </c>
      <c r="J47" s="430"/>
      <c r="K47" s="430" t="s">
        <v>474</v>
      </c>
      <c r="L47" s="430"/>
      <c r="M47" s="430"/>
      <c r="N47" s="430"/>
      <c r="O47" s="430"/>
      <c r="P47" s="430"/>
      <c r="Q47" s="430"/>
      <c r="R47" s="430"/>
      <c r="S47" s="430"/>
      <c r="T47" s="430"/>
      <c r="U47" s="430"/>
      <c r="V47" s="430"/>
      <c r="W47" s="430"/>
      <c r="X47" s="430"/>
      <c r="Y47" s="430"/>
      <c r="Z47" s="430"/>
      <c r="AA47" s="430"/>
      <c r="AB47" s="430"/>
      <c r="AC47" s="430"/>
      <c r="AD47" s="459"/>
      <c r="AE47" s="430"/>
      <c r="AF47" s="430"/>
      <c r="AG47" s="430"/>
      <c r="AH47" s="430"/>
      <c r="AI47" s="430"/>
      <c r="AJ47" s="430"/>
      <c r="AK47" s="430"/>
      <c r="AL47" s="430"/>
      <c r="AM47" s="430"/>
      <c r="AN47" s="430"/>
      <c r="AO47" s="430"/>
      <c r="AP47" s="430"/>
      <c r="AQ47" s="430"/>
      <c r="AR47" s="430"/>
      <c r="AS47" s="430"/>
      <c r="AT47" s="430"/>
      <c r="AU47" s="430"/>
    </row>
    <row r="48" spans="1:47" hidden="1" x14ac:dyDescent="0.3">
      <c r="A48" s="430"/>
      <c r="B48" s="430"/>
      <c r="C48" s="430"/>
      <c r="D48" s="430"/>
      <c r="E48" s="719" t="s">
        <v>390</v>
      </c>
      <c r="F48" s="719"/>
      <c r="G48" s="719"/>
      <c r="H48" s="423"/>
      <c r="I48" s="721" t="s">
        <v>466</v>
      </c>
      <c r="J48" s="721"/>
      <c r="K48" s="677" t="s">
        <v>467</v>
      </c>
      <c r="L48" s="677"/>
      <c r="M48" s="430"/>
      <c r="N48" s="430"/>
      <c r="O48" s="430"/>
      <c r="P48" s="430"/>
      <c r="Q48" s="430"/>
      <c r="R48" s="430"/>
      <c r="S48" s="430"/>
      <c r="T48" s="430"/>
      <c r="U48" s="430"/>
      <c r="V48" s="430"/>
      <c r="W48" s="430"/>
      <c r="X48" s="430"/>
      <c r="Y48" s="430"/>
      <c r="Z48" s="430"/>
      <c r="AA48" s="430"/>
      <c r="AB48" s="430"/>
      <c r="AC48" s="430"/>
      <c r="AD48" s="459"/>
      <c r="AE48" s="430"/>
      <c r="AF48" s="430"/>
      <c r="AG48" s="430"/>
      <c r="AH48" s="430"/>
      <c r="AI48" s="430"/>
      <c r="AJ48" s="430"/>
      <c r="AK48" s="430"/>
      <c r="AL48" s="430"/>
      <c r="AM48" s="430"/>
      <c r="AN48" s="430"/>
      <c r="AO48" s="430"/>
      <c r="AP48" s="430"/>
      <c r="AQ48" s="430"/>
      <c r="AR48" s="430"/>
      <c r="AS48" s="430"/>
      <c r="AT48" s="430"/>
      <c r="AU48" s="430"/>
    </row>
    <row r="49" spans="1:47" hidden="1" x14ac:dyDescent="0.3">
      <c r="A49" s="430"/>
      <c r="B49" s="430"/>
      <c r="C49" s="430"/>
      <c r="D49" s="430"/>
      <c r="E49" s="720"/>
      <c r="F49" s="720"/>
      <c r="G49" s="720"/>
      <c r="H49" s="425"/>
      <c r="I49" s="722"/>
      <c r="J49" s="722"/>
      <c r="K49" s="678"/>
      <c r="L49" s="678"/>
      <c r="M49" s="430"/>
      <c r="N49" s="430"/>
      <c r="O49" s="430"/>
      <c r="P49" s="430"/>
      <c r="Q49" s="430"/>
      <c r="R49" s="430"/>
      <c r="S49" s="430"/>
      <c r="T49" s="430"/>
      <c r="U49" s="430"/>
      <c r="V49" s="430"/>
      <c r="W49" s="430"/>
      <c r="X49" s="430"/>
      <c r="Y49" s="430"/>
      <c r="Z49" s="430"/>
      <c r="AA49" s="430"/>
      <c r="AB49" s="430"/>
      <c r="AC49" s="430"/>
      <c r="AD49" s="459"/>
      <c r="AE49" s="430"/>
      <c r="AF49" s="430"/>
      <c r="AG49" s="430"/>
      <c r="AH49" s="430"/>
      <c r="AI49" s="430"/>
      <c r="AJ49" s="430"/>
      <c r="AK49" s="430"/>
      <c r="AL49" s="430"/>
      <c r="AM49" s="430"/>
      <c r="AN49" s="430"/>
      <c r="AO49" s="430"/>
      <c r="AP49" s="430"/>
      <c r="AQ49" s="430"/>
      <c r="AR49" s="430"/>
      <c r="AS49" s="430"/>
      <c r="AT49" s="430"/>
      <c r="AU49" s="430"/>
    </row>
    <row r="50" spans="1:47" hidden="1" x14ac:dyDescent="0.3">
      <c r="A50" s="430"/>
      <c r="B50" s="430"/>
      <c r="C50" s="430"/>
      <c r="D50" s="430"/>
      <c r="E50" s="723" t="str">
        <f>IF(ISNUMBER('2. Estimación absorción total'!AM2),'2. Estimación absorción total'!AM2,"")</f>
        <v/>
      </c>
      <c r="F50" s="723"/>
      <c r="G50" s="724"/>
      <c r="H50" s="510"/>
      <c r="I50" s="725" t="str">
        <f>AQ19</f>
        <v/>
      </c>
      <c r="J50" s="725"/>
      <c r="K50" s="726" t="str">
        <f>IF(ISNUMBER(I50),ROUND(I50*0.2,0),"")</f>
        <v/>
      </c>
      <c r="L50" s="726"/>
      <c r="M50" s="430" t="e">
        <f>K50/I50</f>
        <v>#VALUE!</v>
      </c>
      <c r="N50" s="430"/>
      <c r="O50" s="430"/>
      <c r="P50" s="430"/>
      <c r="Q50" s="430"/>
      <c r="R50" s="430"/>
      <c r="S50" s="430"/>
      <c r="T50" s="430"/>
      <c r="U50" s="430"/>
      <c r="V50" s="430"/>
      <c r="W50" s="430"/>
      <c r="X50" s="430"/>
      <c r="Y50" s="430"/>
      <c r="Z50" s="430"/>
      <c r="AA50" s="430"/>
      <c r="AB50" s="430"/>
      <c r="AC50" s="430"/>
      <c r="AD50" s="459"/>
      <c r="AE50" s="430"/>
      <c r="AF50" s="430"/>
      <c r="AG50" s="430"/>
      <c r="AH50" s="430"/>
      <c r="AI50" s="430"/>
      <c r="AJ50" s="430"/>
      <c r="AK50" s="430"/>
      <c r="AL50" s="430"/>
      <c r="AM50" s="430"/>
      <c r="AN50" s="430"/>
      <c r="AO50" s="430"/>
      <c r="AP50" s="430"/>
      <c r="AQ50" s="430"/>
      <c r="AR50" s="430"/>
      <c r="AS50" s="430"/>
      <c r="AT50" s="430"/>
      <c r="AU50" s="430"/>
    </row>
    <row r="51" spans="1:47" hidden="1" x14ac:dyDescent="0.3">
      <c r="A51" s="430"/>
      <c r="B51" s="430"/>
      <c r="C51" s="430"/>
      <c r="D51" s="430"/>
      <c r="E51" s="716" t="str">
        <f>IF(ISNUMBER('2. Estimación absorción total'!AM3),'2. Estimación absorción total'!AM3,"")</f>
        <v/>
      </c>
      <c r="F51" s="716"/>
      <c r="G51" s="716"/>
      <c r="H51" s="508"/>
      <c r="I51" s="717" t="str">
        <f>AR19</f>
        <v/>
      </c>
      <c r="J51" s="717"/>
      <c r="K51" s="718" t="str">
        <f>IF(ISNUMBER(I51),ROUND(I51*0.2,0),"")</f>
        <v/>
      </c>
      <c r="L51" s="718"/>
      <c r="M51" s="430"/>
      <c r="N51" s="430"/>
      <c r="O51" s="430"/>
      <c r="P51" s="430"/>
      <c r="Q51" s="430"/>
      <c r="R51" s="430"/>
      <c r="S51" s="430"/>
      <c r="T51" s="430"/>
      <c r="U51" s="430"/>
      <c r="V51" s="430"/>
      <c r="W51" s="430"/>
      <c r="X51" s="430"/>
      <c r="Y51" s="430"/>
      <c r="Z51" s="430"/>
      <c r="AA51" s="430"/>
      <c r="AB51" s="430"/>
      <c r="AC51" s="430"/>
      <c r="AD51" s="459"/>
      <c r="AE51" s="430"/>
      <c r="AF51" s="430"/>
      <c r="AG51" s="430"/>
      <c r="AH51" s="430"/>
      <c r="AI51" s="430"/>
      <c r="AJ51" s="430"/>
      <c r="AK51" s="430"/>
      <c r="AL51" s="430"/>
      <c r="AM51" s="430"/>
      <c r="AN51" s="430"/>
      <c r="AO51" s="430"/>
      <c r="AP51" s="430"/>
      <c r="AQ51" s="430"/>
      <c r="AR51" s="430"/>
      <c r="AS51" s="430"/>
      <c r="AT51" s="430"/>
      <c r="AU51" s="430"/>
    </row>
    <row r="52" spans="1:47" hidden="1" x14ac:dyDescent="0.3">
      <c r="A52" s="430"/>
      <c r="B52" s="430"/>
      <c r="C52" s="430"/>
      <c r="D52" s="430"/>
      <c r="E52" s="713" t="str">
        <f>IF(ISNUMBER('2. Estimación absorción total'!AM4),'2. Estimación absorción total'!AM4,"")</f>
        <v/>
      </c>
      <c r="F52" s="713"/>
      <c r="G52" s="713"/>
      <c r="H52" s="509"/>
      <c r="I52" s="717" t="str">
        <f>AS19</f>
        <v/>
      </c>
      <c r="J52" s="717"/>
      <c r="K52" s="715" t="str">
        <f>IF(ISNUMBER(I52),ROUND(I52*0.2,0),"")</f>
        <v/>
      </c>
      <c r="L52" s="715"/>
      <c r="M52" s="430"/>
      <c r="N52" s="430"/>
      <c r="O52" s="430"/>
      <c r="P52" s="430"/>
      <c r="Q52" s="430"/>
      <c r="R52" s="430"/>
      <c r="S52" s="430"/>
      <c r="T52" s="430"/>
      <c r="U52" s="430"/>
      <c r="V52" s="430"/>
      <c r="W52" s="430"/>
      <c r="X52" s="430"/>
      <c r="Y52" s="430"/>
      <c r="Z52" s="430"/>
      <c r="AA52" s="430"/>
      <c r="AB52" s="430"/>
      <c r="AC52" s="430"/>
      <c r="AD52" s="459"/>
      <c r="AE52" s="430"/>
      <c r="AF52" s="430"/>
      <c r="AG52" s="430"/>
      <c r="AH52" s="430"/>
      <c r="AI52" s="430"/>
      <c r="AJ52" s="430"/>
      <c r="AK52" s="430"/>
      <c r="AL52" s="430"/>
      <c r="AM52" s="430"/>
      <c r="AN52" s="430"/>
      <c r="AO52" s="430"/>
      <c r="AP52" s="430"/>
      <c r="AQ52" s="430"/>
      <c r="AR52" s="430"/>
      <c r="AS52" s="430"/>
      <c r="AT52" s="430"/>
      <c r="AU52" s="430"/>
    </row>
    <row r="53" spans="1:47" hidden="1" x14ac:dyDescent="0.3">
      <c r="A53" s="430"/>
      <c r="B53" s="430"/>
      <c r="C53" s="430"/>
      <c r="D53" s="430"/>
      <c r="E53" s="713" t="str">
        <f>IF(ISNUMBER('2. Estimación absorción total'!AM5),'2. Estimación absorción total'!AM5,"")</f>
        <v/>
      </c>
      <c r="F53" s="713"/>
      <c r="G53" s="713"/>
      <c r="H53" s="509"/>
      <c r="I53" s="717" t="str">
        <f>AT19</f>
        <v/>
      </c>
      <c r="J53" s="717"/>
      <c r="K53" s="715" t="str">
        <f>IF(ISNUMBER(I53),ROUND(I53*0.2,0),"")</f>
        <v/>
      </c>
      <c r="L53" s="715"/>
      <c r="M53" s="430" t="e">
        <f>K53/I53</f>
        <v>#VALUE!</v>
      </c>
      <c r="N53" s="430"/>
      <c r="O53" s="430"/>
      <c r="P53" s="430"/>
      <c r="Q53" s="430"/>
      <c r="R53" s="430"/>
      <c r="S53" s="430"/>
      <c r="T53" s="430"/>
      <c r="U53" s="430"/>
      <c r="V53" s="430"/>
      <c r="W53" s="430"/>
      <c r="X53" s="430"/>
      <c r="Y53" s="430"/>
      <c r="Z53" s="430"/>
      <c r="AA53" s="430"/>
      <c r="AB53" s="430"/>
      <c r="AC53" s="430"/>
      <c r="AD53" s="459"/>
      <c r="AE53" s="430"/>
      <c r="AF53" s="430"/>
      <c r="AG53" s="430"/>
      <c r="AH53" s="430"/>
      <c r="AI53" s="430"/>
      <c r="AJ53" s="430"/>
      <c r="AK53" s="430"/>
      <c r="AL53" s="430"/>
      <c r="AM53" s="430"/>
      <c r="AN53" s="430"/>
      <c r="AO53" s="430"/>
      <c r="AP53" s="430"/>
      <c r="AQ53" s="430"/>
      <c r="AR53" s="430"/>
      <c r="AS53" s="430"/>
      <c r="AT53" s="430"/>
      <c r="AU53" s="430"/>
    </row>
    <row r="54" spans="1:47" hidden="1" x14ac:dyDescent="0.3">
      <c r="A54" s="430"/>
      <c r="B54" s="430"/>
      <c r="C54" s="430"/>
      <c r="D54" s="430"/>
      <c r="E54" s="713" t="str">
        <f>IF(ISNUMBER('2. Estimación absorción total'!AM6),'2. Estimación absorción total'!AM6,"")</f>
        <v/>
      </c>
      <c r="F54" s="713"/>
      <c r="G54" s="713"/>
      <c r="H54" s="509"/>
      <c r="I54" s="714" t="str">
        <f>AU19</f>
        <v/>
      </c>
      <c r="J54" s="714"/>
      <c r="K54" s="715" t="str">
        <f>IF(ISNUMBER(I54),ROUND(I54*0.2,0),"")</f>
        <v/>
      </c>
      <c r="L54" s="715"/>
      <c r="M54" s="430" t="e">
        <f>K54/I54</f>
        <v>#VALUE!</v>
      </c>
      <c r="N54" s="430"/>
      <c r="O54" s="430"/>
      <c r="P54" s="430"/>
      <c r="Q54" s="430"/>
      <c r="R54" s="430"/>
      <c r="S54" s="430"/>
      <c r="T54" s="430"/>
      <c r="U54" s="430"/>
      <c r="V54" s="430"/>
      <c r="W54" s="430"/>
      <c r="X54" s="430"/>
      <c r="Y54" s="430"/>
      <c r="Z54" s="430"/>
      <c r="AA54" s="430"/>
      <c r="AB54" s="430"/>
      <c r="AC54" s="430"/>
      <c r="AD54" s="459"/>
      <c r="AE54" s="430"/>
      <c r="AF54" s="430"/>
      <c r="AG54" s="430"/>
      <c r="AH54" s="430"/>
      <c r="AI54" s="430"/>
      <c r="AJ54" s="430"/>
      <c r="AK54" s="430"/>
      <c r="AL54" s="430"/>
      <c r="AM54" s="430"/>
      <c r="AN54" s="430"/>
      <c r="AO54" s="430"/>
      <c r="AP54" s="430"/>
      <c r="AQ54" s="430"/>
      <c r="AR54" s="430"/>
      <c r="AS54" s="430"/>
      <c r="AT54" s="430"/>
      <c r="AU54" s="430"/>
    </row>
    <row r="55" spans="1:47" hidden="1" x14ac:dyDescent="0.3">
      <c r="A55" s="430"/>
      <c r="B55" s="430"/>
      <c r="C55" s="430"/>
      <c r="D55" s="430"/>
      <c r="E55" s="430"/>
      <c r="F55" s="430"/>
      <c r="G55" s="430"/>
      <c r="H55" s="430"/>
      <c r="I55" s="430"/>
      <c r="J55" s="430"/>
      <c r="K55" s="430"/>
      <c r="L55" s="430"/>
      <c r="M55" s="430"/>
      <c r="N55" s="430"/>
      <c r="O55" s="430"/>
      <c r="P55" s="430"/>
      <c r="Q55" s="430"/>
      <c r="R55" s="430"/>
      <c r="S55" s="430"/>
      <c r="T55" s="430"/>
      <c r="U55" s="430"/>
      <c r="V55" s="430"/>
      <c r="W55" s="430"/>
      <c r="X55" s="430"/>
      <c r="Y55" s="430"/>
      <c r="Z55" s="430"/>
      <c r="AA55" s="430"/>
      <c r="AB55" s="430"/>
      <c r="AC55" s="430"/>
      <c r="AD55" s="459"/>
      <c r="AE55" s="430"/>
      <c r="AF55" s="430"/>
      <c r="AG55" s="430"/>
      <c r="AH55" s="430"/>
      <c r="AI55" s="430"/>
      <c r="AJ55" s="430"/>
      <c r="AK55" s="430"/>
      <c r="AL55" s="430"/>
      <c r="AM55" s="430"/>
      <c r="AN55" s="430"/>
      <c r="AO55" s="430"/>
      <c r="AP55" s="430"/>
      <c r="AQ55" s="430"/>
      <c r="AR55" s="430"/>
      <c r="AS55" s="430"/>
      <c r="AT55" s="430"/>
      <c r="AU55" s="430"/>
    </row>
    <row r="56" spans="1:47" ht="9" hidden="1" customHeight="1" x14ac:dyDescent="0.3">
      <c r="A56" s="430"/>
      <c r="B56" s="430"/>
      <c r="C56" s="430"/>
      <c r="D56" s="430"/>
      <c r="E56" s="430"/>
      <c r="F56" s="430"/>
      <c r="G56" s="430"/>
      <c r="H56" s="430"/>
      <c r="I56" s="430"/>
      <c r="J56" s="430"/>
      <c r="K56" s="430"/>
      <c r="L56" s="430"/>
      <c r="M56" s="430"/>
      <c r="N56" s="430"/>
      <c r="O56" s="430"/>
      <c r="P56" s="430"/>
      <c r="Q56" s="430"/>
      <c r="R56" s="430"/>
      <c r="S56" s="430"/>
      <c r="T56" s="430"/>
      <c r="U56" s="430"/>
      <c r="V56" s="430"/>
      <c r="W56" s="430"/>
      <c r="X56" s="430"/>
      <c r="Y56" s="430"/>
      <c r="Z56" s="430"/>
      <c r="AA56" s="430"/>
      <c r="AB56" s="430"/>
      <c r="AC56" s="430"/>
      <c r="AD56" s="459"/>
      <c r="AE56" s="430"/>
      <c r="AF56" s="430"/>
      <c r="AG56" s="430"/>
      <c r="AH56" s="430"/>
      <c r="AI56" s="430"/>
      <c r="AJ56" s="430"/>
      <c r="AK56" s="430"/>
      <c r="AL56" s="430"/>
      <c r="AM56" s="430"/>
      <c r="AN56" s="430"/>
      <c r="AO56" s="430"/>
      <c r="AP56" s="430"/>
      <c r="AQ56" s="430"/>
      <c r="AR56" s="430"/>
      <c r="AS56" s="430"/>
      <c r="AT56" s="430"/>
      <c r="AU56" s="430"/>
    </row>
    <row r="57" spans="1:47" hidden="1" x14ac:dyDescent="0.3">
      <c r="A57" s="430"/>
      <c r="B57" s="430"/>
      <c r="C57" s="430"/>
      <c r="D57" s="430"/>
      <c r="E57" s="430"/>
      <c r="F57" s="430"/>
      <c r="G57" s="430"/>
      <c r="H57" s="430"/>
      <c r="I57" s="430"/>
      <c r="J57" s="430"/>
      <c r="K57" s="430"/>
      <c r="L57" s="430"/>
      <c r="M57" s="430"/>
      <c r="N57" s="430"/>
      <c r="O57" s="430"/>
      <c r="P57" s="430"/>
      <c r="Q57" s="430"/>
      <c r="R57" s="430"/>
      <c r="S57" s="430"/>
      <c r="T57" s="430"/>
      <c r="U57" s="430"/>
      <c r="V57" s="430"/>
      <c r="W57" s="430"/>
      <c r="X57" s="430"/>
      <c r="Y57" s="430"/>
      <c r="Z57" s="430"/>
      <c r="AA57" s="430"/>
      <c r="AB57" s="430"/>
      <c r="AC57" s="430"/>
      <c r="AD57" s="459"/>
      <c r="AE57" s="430"/>
      <c r="AF57" s="430"/>
      <c r="AG57" s="430"/>
      <c r="AH57" s="430"/>
      <c r="AI57" s="430"/>
      <c r="AJ57" s="430"/>
      <c r="AK57" s="430"/>
      <c r="AL57" s="430"/>
      <c r="AM57" s="430"/>
      <c r="AN57" s="430"/>
      <c r="AO57" s="430"/>
      <c r="AP57" s="430"/>
      <c r="AQ57" s="430"/>
      <c r="AR57" s="430"/>
      <c r="AS57" s="430"/>
      <c r="AT57" s="430"/>
      <c r="AU57" s="430"/>
    </row>
    <row r="58" spans="1:47" ht="18.75" customHeight="1" x14ac:dyDescent="0.3">
      <c r="A58" s="430"/>
      <c r="B58" s="679" t="s">
        <v>488</v>
      </c>
      <c r="C58" s="679"/>
      <c r="D58" s="679"/>
      <c r="E58" s="679"/>
      <c r="F58" s="679"/>
      <c r="G58" s="679"/>
      <c r="H58" s="679"/>
      <c r="I58" s="679"/>
      <c r="J58" s="679"/>
      <c r="K58" s="679"/>
      <c r="L58" s="679"/>
      <c r="M58" s="679"/>
      <c r="N58" s="679"/>
      <c r="O58" s="679"/>
      <c r="P58" s="679"/>
      <c r="Q58" s="679"/>
      <c r="R58" s="679"/>
      <c r="S58" s="679"/>
      <c r="T58" s="679"/>
      <c r="U58" s="679"/>
      <c r="V58" s="679"/>
      <c r="W58" s="679"/>
      <c r="X58" s="679"/>
      <c r="Y58" s="679"/>
      <c r="Z58" s="679"/>
      <c r="AA58" s="679"/>
      <c r="AB58" s="679"/>
      <c r="AC58" s="679"/>
      <c r="AD58" s="459"/>
      <c r="AE58" s="430"/>
      <c r="AF58" s="430"/>
      <c r="AG58" s="430"/>
      <c r="AH58" s="430"/>
      <c r="AI58" s="430"/>
      <c r="AJ58" s="430"/>
      <c r="AK58" s="430"/>
      <c r="AL58" s="430"/>
      <c r="AM58" s="430"/>
      <c r="AN58" s="430"/>
      <c r="AO58" s="430"/>
      <c r="AP58" s="430"/>
      <c r="AQ58" s="430"/>
      <c r="AR58" s="430"/>
      <c r="AS58" s="430"/>
      <c r="AT58" s="430"/>
      <c r="AU58" s="430"/>
    </row>
    <row r="59" spans="1:47" s="430" customFormat="1" ht="17.25" thickBot="1" x14ac:dyDescent="0.35">
      <c r="AD59" s="459"/>
    </row>
    <row r="60" spans="1:47" ht="18.75" customHeight="1" x14ac:dyDescent="0.3">
      <c r="A60" s="430"/>
      <c r="B60" s="430"/>
      <c r="C60" s="637" t="s">
        <v>623</v>
      </c>
      <c r="D60" s="758"/>
      <c r="E60" s="758"/>
      <c r="F60" s="758"/>
      <c r="G60" s="758"/>
      <c r="H60" s="758"/>
      <c r="I60" s="758"/>
      <c r="J60" s="758"/>
      <c r="K60" s="758"/>
      <c r="L60" s="758"/>
      <c r="M60" s="758"/>
      <c r="N60" s="758"/>
      <c r="O60" s="758"/>
      <c r="P60" s="758"/>
      <c r="Q60" s="758"/>
      <c r="R60" s="758"/>
      <c r="S60" s="758"/>
      <c r="T60" s="758"/>
      <c r="U60" s="758"/>
      <c r="V60" s="758"/>
      <c r="W60" s="758"/>
      <c r="X60" s="758"/>
      <c r="Y60" s="758"/>
      <c r="Z60" s="758"/>
      <c r="AA60" s="758"/>
      <c r="AB60" s="758"/>
      <c r="AC60" s="759"/>
      <c r="AD60" s="459"/>
      <c r="AE60" s="430"/>
      <c r="AF60" s="430"/>
      <c r="AG60" s="430"/>
      <c r="AH60" s="430"/>
      <c r="AI60" s="430"/>
      <c r="AJ60" s="430"/>
      <c r="AK60" s="430"/>
      <c r="AL60" s="430"/>
      <c r="AM60" s="430"/>
      <c r="AN60" s="430"/>
      <c r="AO60" s="430"/>
      <c r="AP60" s="430"/>
      <c r="AQ60" s="430"/>
      <c r="AR60" s="430"/>
      <c r="AS60" s="430"/>
      <c r="AT60" s="430"/>
      <c r="AU60" s="430"/>
    </row>
    <row r="61" spans="1:47" ht="60.75" customHeight="1" x14ac:dyDescent="0.3">
      <c r="A61" s="430"/>
      <c r="B61" s="430"/>
      <c r="C61" s="760"/>
      <c r="D61" s="761"/>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2"/>
      <c r="AD61" s="459"/>
      <c r="AE61" s="430"/>
      <c r="AF61" s="430"/>
      <c r="AG61" s="430"/>
      <c r="AH61" s="430"/>
      <c r="AI61" s="430"/>
      <c r="AJ61" s="430"/>
      <c r="AK61" s="430"/>
      <c r="AL61" s="430"/>
      <c r="AM61" s="430"/>
      <c r="AN61" s="430"/>
      <c r="AO61" s="430"/>
      <c r="AP61" s="430"/>
      <c r="AQ61" s="430"/>
      <c r="AR61" s="430"/>
      <c r="AS61" s="430"/>
      <c r="AT61" s="430"/>
      <c r="AU61" s="430"/>
    </row>
    <row r="62" spans="1:47" ht="18.75" customHeight="1" x14ac:dyDescent="0.3">
      <c r="A62" s="430"/>
      <c r="B62" s="430"/>
      <c r="C62" s="763" t="s">
        <v>621</v>
      </c>
      <c r="D62" s="764"/>
      <c r="E62" s="764"/>
      <c r="F62" s="764"/>
      <c r="G62" s="764"/>
      <c r="H62" s="764"/>
      <c r="I62" s="764"/>
      <c r="J62" s="764"/>
      <c r="K62" s="764"/>
      <c r="L62" s="764"/>
      <c r="M62" s="764"/>
      <c r="N62" s="764"/>
      <c r="O62" s="764"/>
      <c r="P62" s="764"/>
      <c r="Q62" s="764"/>
      <c r="R62" s="764"/>
      <c r="S62" s="764"/>
      <c r="T62" s="764"/>
      <c r="U62" s="764"/>
      <c r="V62" s="764"/>
      <c r="W62" s="764"/>
      <c r="X62" s="764"/>
      <c r="Y62" s="764"/>
      <c r="Z62" s="764"/>
      <c r="AA62" s="764"/>
      <c r="AB62" s="764"/>
      <c r="AC62" s="765"/>
      <c r="AD62" s="459"/>
      <c r="AE62" s="430"/>
      <c r="AF62" s="430"/>
      <c r="AG62" s="430"/>
      <c r="AH62" s="430"/>
      <c r="AI62" s="430"/>
      <c r="AJ62" s="430"/>
      <c r="AK62" s="430"/>
      <c r="AL62" s="430"/>
      <c r="AM62" s="430"/>
      <c r="AN62" s="430"/>
      <c r="AO62" s="430"/>
      <c r="AP62" s="430"/>
      <c r="AQ62" s="430"/>
      <c r="AR62" s="430"/>
      <c r="AS62" s="430"/>
      <c r="AT62" s="430"/>
      <c r="AU62" s="430"/>
    </row>
    <row r="63" spans="1:47" ht="23.25" customHeight="1" thickBot="1" x14ac:dyDescent="0.35">
      <c r="A63" s="430"/>
      <c r="B63" s="430"/>
      <c r="C63" s="766" t="s">
        <v>622</v>
      </c>
      <c r="D63" s="767"/>
      <c r="E63" s="767"/>
      <c r="F63" s="767"/>
      <c r="G63" s="767"/>
      <c r="H63" s="767"/>
      <c r="I63" s="767"/>
      <c r="J63" s="767"/>
      <c r="K63" s="767"/>
      <c r="L63" s="767"/>
      <c r="M63" s="767"/>
      <c r="N63" s="767"/>
      <c r="O63" s="767"/>
      <c r="P63" s="767"/>
      <c r="Q63" s="767"/>
      <c r="R63" s="767"/>
      <c r="S63" s="767"/>
      <c r="T63" s="767"/>
      <c r="U63" s="767"/>
      <c r="V63" s="767"/>
      <c r="W63" s="767"/>
      <c r="X63" s="767"/>
      <c r="Y63" s="767"/>
      <c r="Z63" s="767"/>
      <c r="AA63" s="767"/>
      <c r="AB63" s="767"/>
      <c r="AC63" s="768"/>
      <c r="AD63" s="459"/>
      <c r="AE63" s="430"/>
      <c r="AF63" s="430"/>
      <c r="AG63" s="430"/>
      <c r="AH63" s="430"/>
      <c r="AI63" s="430"/>
      <c r="AJ63" s="430"/>
      <c r="AK63" s="430"/>
      <c r="AL63" s="430"/>
      <c r="AM63" s="430"/>
      <c r="AN63" s="430"/>
      <c r="AO63" s="430"/>
      <c r="AP63" s="430"/>
      <c r="AQ63" s="430"/>
      <c r="AR63" s="430"/>
      <c r="AS63" s="430"/>
      <c r="AT63" s="430"/>
      <c r="AU63" s="430"/>
    </row>
    <row r="64" spans="1:47" s="430" customFormat="1" x14ac:dyDescent="0.3">
      <c r="AD64" s="459"/>
    </row>
    <row r="65" spans="1:749" ht="21" customHeight="1" x14ac:dyDescent="0.3">
      <c r="A65" s="430"/>
      <c r="B65" s="430"/>
      <c r="C65" s="430"/>
      <c r="D65" s="430"/>
      <c r="E65" s="744" t="s">
        <v>478</v>
      </c>
      <c r="F65" s="744"/>
      <c r="G65" s="744"/>
      <c r="H65" s="744"/>
      <c r="I65" s="744"/>
      <c r="J65" s="744"/>
      <c r="K65" s="744"/>
      <c r="L65" s="744"/>
      <c r="M65" s="744"/>
      <c r="N65" s="430"/>
      <c r="O65" s="419" t="str">
        <f>E50</f>
        <v/>
      </c>
      <c r="P65" s="430"/>
      <c r="Q65" s="430"/>
      <c r="R65" s="430"/>
      <c r="S65" s="430"/>
      <c r="T65" s="430"/>
      <c r="U65" s="430"/>
      <c r="V65" s="430"/>
      <c r="W65" s="430"/>
      <c r="X65" s="430"/>
      <c r="Y65" s="430"/>
      <c r="Z65" s="430"/>
      <c r="AA65" s="430"/>
      <c r="AB65" s="430"/>
      <c r="AC65" s="430"/>
      <c r="AD65" s="459"/>
      <c r="AE65" s="430"/>
      <c r="AF65" s="430"/>
      <c r="AG65" s="430"/>
      <c r="AH65" s="430"/>
      <c r="AI65" s="430"/>
      <c r="AJ65" s="430"/>
      <c r="AK65" s="430"/>
      <c r="AL65" s="430"/>
      <c r="AM65" s="430"/>
      <c r="AN65" s="430"/>
      <c r="AO65" s="430"/>
      <c r="AP65" s="430"/>
      <c r="AQ65" s="430"/>
      <c r="AR65" s="430"/>
      <c r="AS65" s="430"/>
      <c r="AT65" s="430"/>
      <c r="AU65" s="430"/>
    </row>
    <row r="66" spans="1:749" s="430" customFormat="1" ht="4.5" customHeight="1" x14ac:dyDescent="0.3">
      <c r="AD66" s="459"/>
    </row>
    <row r="67" spans="1:749" s="310" customFormat="1" ht="29.25" customHeight="1" x14ac:dyDescent="0.3">
      <c r="A67" s="457"/>
      <c r="B67" s="495"/>
      <c r="C67" s="418" t="s">
        <v>468</v>
      </c>
      <c r="D67" s="304"/>
      <c r="E67" s="745" t="s">
        <v>484</v>
      </c>
      <c r="F67" s="746"/>
      <c r="G67" s="746"/>
      <c r="H67" s="746"/>
      <c r="I67" s="746"/>
      <c r="J67" s="746"/>
      <c r="K67" s="746"/>
      <c r="L67" s="746"/>
      <c r="M67" s="747"/>
      <c r="N67" s="457"/>
      <c r="O67" s="321" t="str">
        <f>I50</f>
        <v/>
      </c>
      <c r="P67" s="430"/>
      <c r="Q67" s="457"/>
      <c r="R67" s="457"/>
      <c r="S67" s="457"/>
      <c r="T67" s="457"/>
      <c r="U67" s="457"/>
      <c r="V67" s="457"/>
      <c r="W67" s="457"/>
      <c r="X67" s="457"/>
      <c r="Y67" s="457"/>
      <c r="Z67" s="457"/>
      <c r="AA67" s="457"/>
      <c r="AB67" s="457"/>
      <c r="AC67" s="457"/>
      <c r="AD67" s="461"/>
      <c r="AE67" s="457"/>
      <c r="AF67" s="457"/>
      <c r="AG67" s="457"/>
      <c r="AH67" s="457"/>
      <c r="AI67" s="457"/>
      <c r="AJ67" s="457"/>
      <c r="AK67" s="457"/>
      <c r="AL67" s="457"/>
      <c r="AM67" s="457"/>
      <c r="AN67" s="457"/>
      <c r="AO67" s="457"/>
      <c r="AP67" s="457"/>
      <c r="AQ67" s="457"/>
      <c r="AR67" s="457"/>
      <c r="AS67" s="457"/>
      <c r="AT67" s="457"/>
      <c r="AU67" s="457"/>
      <c r="AV67" s="457"/>
      <c r="AW67" s="457"/>
      <c r="AX67" s="457"/>
      <c r="AY67" s="457"/>
      <c r="AZ67" s="457"/>
      <c r="BA67" s="457"/>
      <c r="BB67" s="457"/>
      <c r="BC67" s="457"/>
      <c r="BD67" s="457"/>
      <c r="BE67" s="457"/>
      <c r="BF67" s="457"/>
      <c r="BG67" s="457"/>
      <c r="BH67" s="457"/>
      <c r="BI67" s="457"/>
      <c r="BJ67" s="457"/>
      <c r="BK67" s="457"/>
      <c r="BL67" s="457"/>
      <c r="BM67" s="457"/>
      <c r="BN67" s="457"/>
      <c r="BO67" s="457"/>
      <c r="BP67" s="457"/>
      <c r="BQ67" s="457"/>
      <c r="BR67" s="457"/>
      <c r="BS67" s="457"/>
      <c r="BT67" s="457"/>
      <c r="BU67" s="457"/>
      <c r="BV67" s="457"/>
      <c r="BW67" s="457"/>
      <c r="BX67" s="457"/>
      <c r="BY67" s="457"/>
      <c r="BZ67" s="457"/>
      <c r="CA67" s="457"/>
      <c r="CB67" s="457"/>
      <c r="CC67" s="457"/>
      <c r="CD67" s="457"/>
      <c r="CE67" s="457"/>
      <c r="CF67" s="457"/>
      <c r="CG67" s="457"/>
      <c r="CH67" s="457"/>
      <c r="CI67" s="457"/>
      <c r="CJ67" s="457"/>
      <c r="CK67" s="457"/>
      <c r="CL67" s="457"/>
      <c r="CM67" s="457"/>
      <c r="CN67" s="457"/>
      <c r="CO67" s="457"/>
      <c r="CP67" s="457"/>
      <c r="CQ67" s="457"/>
      <c r="CR67" s="457"/>
      <c r="CS67" s="457"/>
      <c r="CT67" s="457"/>
      <c r="CU67" s="457"/>
      <c r="CV67" s="457"/>
      <c r="CW67" s="457"/>
      <c r="CX67" s="457"/>
      <c r="CY67" s="457"/>
      <c r="CZ67" s="457"/>
      <c r="DA67" s="457"/>
      <c r="DB67" s="457"/>
      <c r="DC67" s="457"/>
      <c r="DD67" s="457"/>
      <c r="DE67" s="457"/>
      <c r="DF67" s="457"/>
      <c r="DG67" s="457"/>
      <c r="DH67" s="457"/>
      <c r="DI67" s="457"/>
      <c r="DJ67" s="457"/>
      <c r="DK67" s="457"/>
      <c r="DL67" s="457"/>
      <c r="DM67" s="457"/>
      <c r="DN67" s="457"/>
      <c r="DO67" s="457"/>
      <c r="DP67" s="457"/>
      <c r="DQ67" s="457"/>
      <c r="DR67" s="457"/>
      <c r="DS67" s="457"/>
      <c r="DT67" s="457"/>
      <c r="DU67" s="457"/>
      <c r="DV67" s="457"/>
      <c r="DW67" s="457"/>
      <c r="DX67" s="457"/>
      <c r="DY67" s="457"/>
      <c r="DZ67" s="457"/>
      <c r="EA67" s="457"/>
      <c r="EB67" s="457"/>
      <c r="EC67" s="457"/>
      <c r="ED67" s="457"/>
      <c r="EE67" s="457"/>
      <c r="EF67" s="457"/>
      <c r="EG67" s="457"/>
      <c r="EH67" s="457"/>
      <c r="EI67" s="457"/>
      <c r="EJ67" s="457"/>
      <c r="EK67" s="457"/>
      <c r="EL67" s="457"/>
      <c r="EM67" s="457"/>
      <c r="EN67" s="457"/>
      <c r="EO67" s="457"/>
      <c r="EP67" s="457"/>
      <c r="EQ67" s="457"/>
      <c r="ER67" s="457"/>
      <c r="ES67" s="457"/>
      <c r="ET67" s="457"/>
      <c r="EU67" s="457"/>
      <c r="EV67" s="457"/>
      <c r="EW67" s="457"/>
      <c r="EX67" s="457"/>
      <c r="EY67" s="457"/>
      <c r="EZ67" s="457"/>
      <c r="FA67" s="457"/>
      <c r="FB67" s="457"/>
      <c r="FC67" s="457"/>
      <c r="FD67" s="457"/>
      <c r="FE67" s="457"/>
      <c r="FF67" s="457"/>
      <c r="FG67" s="457"/>
      <c r="FH67" s="457"/>
      <c r="FI67" s="457"/>
      <c r="FJ67" s="457"/>
      <c r="FK67" s="457"/>
      <c r="FL67" s="457"/>
      <c r="FM67" s="457"/>
      <c r="FN67" s="457"/>
      <c r="FO67" s="457"/>
      <c r="FP67" s="457"/>
      <c r="FQ67" s="457"/>
      <c r="FR67" s="457"/>
      <c r="FS67" s="457"/>
      <c r="FT67" s="457"/>
      <c r="FU67" s="457"/>
      <c r="FV67" s="457"/>
      <c r="FW67" s="457"/>
      <c r="FX67" s="457"/>
      <c r="FY67" s="457"/>
      <c r="FZ67" s="457"/>
      <c r="GA67" s="457"/>
      <c r="GB67" s="457"/>
      <c r="GC67" s="457"/>
      <c r="GD67" s="457"/>
      <c r="GE67" s="457"/>
      <c r="GF67" s="457"/>
      <c r="GG67" s="457"/>
      <c r="GH67" s="457"/>
      <c r="GI67" s="457"/>
      <c r="GJ67" s="457"/>
      <c r="GK67" s="457"/>
      <c r="GL67" s="457"/>
      <c r="GM67" s="457"/>
      <c r="GN67" s="457"/>
      <c r="GO67" s="457"/>
      <c r="GP67" s="457"/>
      <c r="GQ67" s="457"/>
      <c r="GR67" s="457"/>
      <c r="GS67" s="457"/>
      <c r="GT67" s="457"/>
      <c r="GU67" s="457"/>
      <c r="GV67" s="457"/>
      <c r="GW67" s="457"/>
      <c r="GX67" s="457"/>
      <c r="GY67" s="457"/>
      <c r="GZ67" s="457"/>
      <c r="HA67" s="457"/>
      <c r="HB67" s="457"/>
      <c r="HC67" s="457"/>
      <c r="HD67" s="457"/>
      <c r="HE67" s="457"/>
      <c r="HF67" s="457"/>
      <c r="HG67" s="457"/>
      <c r="HH67" s="457"/>
      <c r="HI67" s="457"/>
      <c r="HJ67" s="457"/>
      <c r="HK67" s="457"/>
      <c r="HL67" s="457"/>
      <c r="HM67" s="457"/>
      <c r="HN67" s="457"/>
      <c r="HO67" s="457"/>
      <c r="HP67" s="457"/>
      <c r="HQ67" s="457"/>
      <c r="HR67" s="457"/>
      <c r="HS67" s="457"/>
      <c r="HT67" s="457"/>
      <c r="HU67" s="457"/>
      <c r="HV67" s="457"/>
      <c r="HW67" s="457"/>
      <c r="HX67" s="457"/>
      <c r="HY67" s="457"/>
      <c r="HZ67" s="457"/>
      <c r="IA67" s="457"/>
      <c r="IB67" s="457"/>
      <c r="IC67" s="457"/>
      <c r="ID67" s="457"/>
      <c r="IE67" s="457"/>
      <c r="IF67" s="457"/>
      <c r="IG67" s="457"/>
      <c r="IH67" s="457"/>
      <c r="II67" s="457"/>
      <c r="IJ67" s="457"/>
      <c r="IK67" s="457"/>
      <c r="IL67" s="457"/>
      <c r="IM67" s="457"/>
      <c r="IN67" s="457"/>
      <c r="IO67" s="457"/>
      <c r="IP67" s="457"/>
      <c r="IQ67" s="457"/>
      <c r="IR67" s="457"/>
      <c r="IS67" s="457"/>
      <c r="IT67" s="457"/>
      <c r="IU67" s="457"/>
      <c r="IV67" s="457"/>
      <c r="IW67" s="457"/>
      <c r="IX67" s="457"/>
      <c r="IY67" s="457"/>
      <c r="IZ67" s="457"/>
      <c r="JA67" s="457"/>
      <c r="JB67" s="457"/>
      <c r="JC67" s="457"/>
      <c r="JD67" s="457"/>
      <c r="JE67" s="457"/>
      <c r="JF67" s="457"/>
      <c r="JG67" s="457"/>
      <c r="JH67" s="457"/>
      <c r="JI67" s="457"/>
      <c r="JJ67" s="457"/>
      <c r="JK67" s="457"/>
      <c r="JL67" s="457"/>
      <c r="JM67" s="457"/>
      <c r="JN67" s="457"/>
      <c r="JO67" s="457"/>
      <c r="JP67" s="457"/>
      <c r="JQ67" s="457"/>
      <c r="JR67" s="457"/>
      <c r="JS67" s="457"/>
      <c r="JT67" s="457"/>
      <c r="JU67" s="457"/>
      <c r="JV67" s="457"/>
      <c r="JW67" s="457"/>
      <c r="JX67" s="457"/>
      <c r="JY67" s="457"/>
      <c r="JZ67" s="457"/>
      <c r="KA67" s="457"/>
      <c r="KB67" s="457"/>
      <c r="KC67" s="457"/>
      <c r="KD67" s="457"/>
      <c r="KE67" s="457"/>
      <c r="KF67" s="457"/>
      <c r="KG67" s="457"/>
      <c r="KH67" s="457"/>
      <c r="KI67" s="457"/>
      <c r="KJ67" s="457"/>
      <c r="KK67" s="457"/>
      <c r="KL67" s="457"/>
      <c r="KM67" s="457"/>
      <c r="KN67" s="457"/>
      <c r="KO67" s="457"/>
      <c r="KP67" s="457"/>
      <c r="KQ67" s="457"/>
      <c r="KR67" s="457"/>
      <c r="KS67" s="457"/>
      <c r="KT67" s="457"/>
      <c r="KU67" s="457"/>
      <c r="KV67" s="457"/>
      <c r="KW67" s="457"/>
      <c r="KX67" s="457"/>
      <c r="KY67" s="457"/>
      <c r="KZ67" s="457"/>
      <c r="LA67" s="457"/>
      <c r="LB67" s="457"/>
      <c r="LC67" s="457"/>
      <c r="LD67" s="457"/>
      <c r="LE67" s="457"/>
      <c r="LF67" s="457"/>
      <c r="LG67" s="457"/>
      <c r="LH67" s="457"/>
      <c r="LI67" s="457"/>
      <c r="LJ67" s="457"/>
      <c r="LK67" s="457"/>
      <c r="LL67" s="457"/>
      <c r="LM67" s="457"/>
      <c r="LN67" s="457"/>
      <c r="LO67" s="457"/>
      <c r="LP67" s="457"/>
      <c r="LQ67" s="457"/>
      <c r="LR67" s="457"/>
      <c r="LS67" s="457"/>
      <c r="LT67" s="457"/>
      <c r="LU67" s="457"/>
      <c r="LV67" s="457"/>
      <c r="LW67" s="457"/>
      <c r="LX67" s="457"/>
      <c r="LY67" s="457"/>
      <c r="LZ67" s="457"/>
      <c r="MA67" s="457"/>
      <c r="MB67" s="457"/>
      <c r="MC67" s="457"/>
      <c r="MD67" s="457"/>
      <c r="ME67" s="457"/>
      <c r="MF67" s="457"/>
      <c r="MG67" s="457"/>
      <c r="MH67" s="457"/>
      <c r="MI67" s="457"/>
      <c r="MJ67" s="457"/>
      <c r="MK67" s="457"/>
      <c r="ML67" s="457"/>
      <c r="MM67" s="457"/>
      <c r="MN67" s="457"/>
      <c r="MO67" s="457"/>
      <c r="MP67" s="457"/>
      <c r="MQ67" s="457"/>
      <c r="MR67" s="457"/>
      <c r="MS67" s="457"/>
      <c r="MT67" s="457"/>
      <c r="MU67" s="457"/>
      <c r="MV67" s="457"/>
      <c r="MW67" s="457"/>
      <c r="MX67" s="457"/>
      <c r="MY67" s="457"/>
      <c r="MZ67" s="457"/>
      <c r="NA67" s="457"/>
      <c r="NB67" s="457"/>
      <c r="NC67" s="457"/>
      <c r="ND67" s="457"/>
      <c r="NE67" s="457"/>
      <c r="NF67" s="457"/>
      <c r="NG67" s="457"/>
      <c r="NH67" s="457"/>
      <c r="NI67" s="457"/>
      <c r="NJ67" s="457"/>
      <c r="NK67" s="457"/>
      <c r="NL67" s="457"/>
      <c r="NM67" s="457"/>
      <c r="NN67" s="457"/>
      <c r="NO67" s="457"/>
      <c r="NP67" s="457"/>
      <c r="NQ67" s="457"/>
      <c r="NR67" s="457"/>
      <c r="NS67" s="457"/>
      <c r="NT67" s="457"/>
      <c r="NU67" s="457"/>
      <c r="NV67" s="457"/>
      <c r="NW67" s="457"/>
      <c r="NX67" s="457"/>
      <c r="NY67" s="457"/>
      <c r="NZ67" s="457"/>
      <c r="OA67" s="457"/>
      <c r="OB67" s="457"/>
      <c r="OC67" s="457"/>
      <c r="OD67" s="457"/>
      <c r="OE67" s="457"/>
      <c r="OF67" s="457"/>
      <c r="OG67" s="457"/>
      <c r="OH67" s="457"/>
      <c r="OI67" s="457"/>
      <c r="OJ67" s="457"/>
      <c r="OK67" s="457"/>
      <c r="OL67" s="457"/>
      <c r="OM67" s="457"/>
      <c r="ON67" s="457"/>
      <c r="OO67" s="457"/>
      <c r="OP67" s="457"/>
      <c r="OQ67" s="457"/>
      <c r="OR67" s="457"/>
      <c r="OS67" s="457"/>
      <c r="OT67" s="457"/>
      <c r="OU67" s="457"/>
      <c r="OV67" s="457"/>
      <c r="OW67" s="457"/>
      <c r="OX67" s="457"/>
      <c r="OY67" s="457"/>
      <c r="OZ67" s="457"/>
      <c r="PA67" s="457"/>
      <c r="PB67" s="457"/>
      <c r="PC67" s="457"/>
      <c r="PD67" s="457"/>
      <c r="PE67" s="457"/>
      <c r="PF67" s="457"/>
      <c r="PG67" s="457"/>
      <c r="PH67" s="457"/>
      <c r="PI67" s="457"/>
      <c r="PJ67" s="457"/>
      <c r="PK67" s="457"/>
      <c r="PL67" s="457"/>
      <c r="PM67" s="457"/>
      <c r="PN67" s="457"/>
      <c r="PO67" s="457"/>
      <c r="PP67" s="457"/>
      <c r="PQ67" s="457"/>
      <c r="PR67" s="457"/>
      <c r="PS67" s="457"/>
      <c r="PT67" s="457"/>
      <c r="PU67" s="457"/>
      <c r="PV67" s="457"/>
      <c r="PW67" s="457"/>
      <c r="PX67" s="457"/>
      <c r="PY67" s="457"/>
      <c r="PZ67" s="457"/>
      <c r="QA67" s="457"/>
      <c r="QB67" s="457"/>
      <c r="QC67" s="457"/>
      <c r="QD67" s="457"/>
      <c r="QE67" s="457"/>
      <c r="QF67" s="457"/>
      <c r="QG67" s="457"/>
      <c r="QH67" s="457"/>
      <c r="QI67" s="457"/>
      <c r="QJ67" s="457"/>
      <c r="QK67" s="457"/>
      <c r="QL67" s="457"/>
      <c r="QM67" s="457"/>
      <c r="QN67" s="457"/>
      <c r="QO67" s="457"/>
      <c r="QP67" s="457"/>
      <c r="QQ67" s="457"/>
      <c r="QR67" s="457"/>
      <c r="QS67" s="457"/>
      <c r="QT67" s="457"/>
      <c r="QU67" s="457"/>
      <c r="QV67" s="457"/>
      <c r="QW67" s="457"/>
      <c r="QX67" s="457"/>
      <c r="QY67" s="457"/>
      <c r="QZ67" s="457"/>
      <c r="RA67" s="457"/>
      <c r="RB67" s="457"/>
      <c r="RC67" s="457"/>
      <c r="RD67" s="457"/>
      <c r="RE67" s="457"/>
      <c r="RF67" s="457"/>
      <c r="RG67" s="457"/>
      <c r="RH67" s="457"/>
      <c r="RI67" s="457"/>
      <c r="RJ67" s="457"/>
      <c r="RK67" s="457"/>
      <c r="RL67" s="457"/>
      <c r="RM67" s="457"/>
      <c r="RN67" s="457"/>
      <c r="RO67" s="457"/>
      <c r="RP67" s="457"/>
      <c r="RQ67" s="457"/>
      <c r="RR67" s="457"/>
      <c r="RS67" s="457"/>
      <c r="RT67" s="457"/>
      <c r="RU67" s="457"/>
      <c r="RV67" s="457"/>
      <c r="RW67" s="457"/>
      <c r="RX67" s="457"/>
      <c r="RY67" s="457"/>
      <c r="RZ67" s="457"/>
      <c r="SA67" s="457"/>
      <c r="SB67" s="457"/>
      <c r="SC67" s="457"/>
      <c r="SD67" s="457"/>
      <c r="SE67" s="457"/>
      <c r="SF67" s="457"/>
      <c r="SG67" s="457"/>
      <c r="SH67" s="457"/>
      <c r="SI67" s="457"/>
      <c r="SJ67" s="457"/>
      <c r="SK67" s="457"/>
      <c r="SL67" s="457"/>
      <c r="SM67" s="457"/>
      <c r="SN67" s="457"/>
      <c r="SO67" s="457"/>
      <c r="SP67" s="457"/>
      <c r="SQ67" s="457"/>
      <c r="SR67" s="457"/>
      <c r="SS67" s="457"/>
      <c r="ST67" s="457"/>
      <c r="SU67" s="457"/>
      <c r="SV67" s="457"/>
      <c r="SW67" s="457"/>
      <c r="SX67" s="457"/>
      <c r="SY67" s="457"/>
      <c r="SZ67" s="457"/>
      <c r="TA67" s="457"/>
      <c r="TB67" s="457"/>
      <c r="TC67" s="457"/>
      <c r="TD67" s="457"/>
      <c r="TE67" s="457"/>
      <c r="TF67" s="457"/>
      <c r="TG67" s="457"/>
      <c r="TH67" s="457"/>
      <c r="TI67" s="457"/>
      <c r="TJ67" s="457"/>
      <c r="TK67" s="457"/>
      <c r="TL67" s="457"/>
      <c r="TM67" s="457"/>
      <c r="TN67" s="457"/>
      <c r="TO67" s="457"/>
      <c r="TP67" s="457"/>
      <c r="TQ67" s="457"/>
      <c r="TR67" s="457"/>
      <c r="TS67" s="457"/>
      <c r="TT67" s="457"/>
      <c r="TU67" s="457"/>
      <c r="TV67" s="457"/>
      <c r="TW67" s="457"/>
      <c r="TX67" s="457"/>
      <c r="TY67" s="457"/>
      <c r="TZ67" s="457"/>
      <c r="UA67" s="457"/>
      <c r="UB67" s="457"/>
      <c r="UC67" s="457"/>
      <c r="UD67" s="457"/>
      <c r="UE67" s="457"/>
      <c r="UF67" s="457"/>
      <c r="UG67" s="457"/>
      <c r="UH67" s="457"/>
      <c r="UI67" s="457"/>
      <c r="UJ67" s="457"/>
      <c r="UK67" s="457"/>
      <c r="UL67" s="457"/>
      <c r="UM67" s="457"/>
      <c r="UN67" s="457"/>
      <c r="UO67" s="457"/>
      <c r="UP67" s="457"/>
      <c r="UQ67" s="457"/>
      <c r="UR67" s="457"/>
      <c r="US67" s="457"/>
      <c r="UT67" s="457"/>
      <c r="UU67" s="457"/>
      <c r="UV67" s="457"/>
      <c r="UW67" s="457"/>
      <c r="UX67" s="457"/>
      <c r="UY67" s="457"/>
      <c r="UZ67" s="457"/>
      <c r="VA67" s="457"/>
      <c r="VB67" s="457"/>
      <c r="VC67" s="457"/>
      <c r="VD67" s="457"/>
      <c r="VE67" s="457"/>
      <c r="VF67" s="457"/>
      <c r="VG67" s="457"/>
      <c r="VH67" s="457"/>
      <c r="VI67" s="457"/>
      <c r="VJ67" s="457"/>
      <c r="VK67" s="457"/>
      <c r="VL67" s="457"/>
      <c r="VM67" s="457"/>
      <c r="VN67" s="457"/>
      <c r="VO67" s="457"/>
      <c r="VP67" s="457"/>
      <c r="VQ67" s="457"/>
      <c r="VR67" s="457"/>
      <c r="VS67" s="457"/>
      <c r="VT67" s="457"/>
      <c r="VU67" s="457"/>
      <c r="VV67" s="457"/>
      <c r="VW67" s="457"/>
      <c r="VX67" s="457"/>
      <c r="VY67" s="457"/>
      <c r="VZ67" s="457"/>
      <c r="WA67" s="457"/>
      <c r="WB67" s="457"/>
      <c r="WC67" s="457"/>
      <c r="WD67" s="457"/>
      <c r="WE67" s="457"/>
      <c r="WF67" s="457"/>
      <c r="WG67" s="457"/>
      <c r="WH67" s="457"/>
      <c r="WI67" s="457"/>
      <c r="WJ67" s="457"/>
      <c r="WK67" s="457"/>
      <c r="WL67" s="457"/>
      <c r="WM67" s="457"/>
      <c r="WN67" s="457"/>
      <c r="WO67" s="457"/>
      <c r="WP67" s="457"/>
      <c r="WQ67" s="457"/>
      <c r="WR67" s="457"/>
      <c r="WS67" s="457"/>
      <c r="WT67" s="457"/>
      <c r="WU67" s="457"/>
      <c r="WV67" s="457"/>
      <c r="WW67" s="457"/>
      <c r="WX67" s="457"/>
      <c r="WY67" s="457"/>
      <c r="WZ67" s="457"/>
      <c r="XA67" s="457"/>
      <c r="XB67" s="457"/>
      <c r="XC67" s="457"/>
      <c r="XD67" s="457"/>
      <c r="XE67" s="457"/>
      <c r="XF67" s="457"/>
      <c r="XG67" s="457"/>
      <c r="XH67" s="457"/>
      <c r="XI67" s="457"/>
      <c r="XJ67" s="457"/>
      <c r="XK67" s="457"/>
      <c r="XL67" s="457"/>
      <c r="XM67" s="457"/>
      <c r="XN67" s="457"/>
      <c r="XO67" s="457"/>
      <c r="XP67" s="457"/>
      <c r="XQ67" s="457"/>
      <c r="XR67" s="457"/>
      <c r="XS67" s="457"/>
      <c r="XT67" s="457"/>
      <c r="XU67" s="457"/>
      <c r="XV67" s="457"/>
      <c r="XW67" s="457"/>
      <c r="XX67" s="457"/>
      <c r="XY67" s="457"/>
      <c r="XZ67" s="457"/>
      <c r="YA67" s="457"/>
      <c r="YB67" s="457"/>
      <c r="YC67" s="457"/>
      <c r="YD67" s="457"/>
      <c r="YE67" s="457"/>
      <c r="YF67" s="457"/>
      <c r="YG67" s="457"/>
      <c r="YH67" s="457"/>
      <c r="YI67" s="457"/>
      <c r="YJ67" s="457"/>
      <c r="YK67" s="457"/>
      <c r="YL67" s="457"/>
      <c r="YM67" s="457"/>
      <c r="YN67" s="457"/>
      <c r="YO67" s="457"/>
      <c r="YP67" s="457"/>
      <c r="YQ67" s="457"/>
      <c r="YR67" s="457"/>
      <c r="YS67" s="457"/>
      <c r="YT67" s="457"/>
      <c r="YU67" s="457"/>
      <c r="YV67" s="457"/>
      <c r="YW67" s="457"/>
      <c r="YX67" s="457"/>
      <c r="YY67" s="457"/>
      <c r="YZ67" s="457"/>
      <c r="ZA67" s="457"/>
      <c r="ZB67" s="457"/>
      <c r="ZC67" s="457"/>
      <c r="ZD67" s="457"/>
      <c r="ZE67" s="457"/>
      <c r="ZF67" s="457"/>
      <c r="ZG67" s="457"/>
      <c r="ZH67" s="457"/>
      <c r="ZI67" s="457"/>
      <c r="ZJ67" s="457"/>
      <c r="ZK67" s="457"/>
      <c r="ZL67" s="457"/>
      <c r="ZM67" s="457"/>
      <c r="ZN67" s="457"/>
      <c r="ZO67" s="457"/>
      <c r="ZP67" s="457"/>
      <c r="ZQ67" s="457"/>
      <c r="ZR67" s="457"/>
      <c r="ZS67" s="457"/>
      <c r="ZT67" s="457"/>
      <c r="ZU67" s="457"/>
      <c r="ZV67" s="457"/>
      <c r="ZW67" s="457"/>
      <c r="ZX67" s="457"/>
      <c r="ZY67" s="457"/>
      <c r="ZZ67" s="457"/>
      <c r="AAA67" s="457"/>
      <c r="AAB67" s="457"/>
      <c r="AAC67" s="457"/>
      <c r="AAD67" s="457"/>
      <c r="AAE67" s="457"/>
      <c r="AAF67" s="457"/>
      <c r="AAG67" s="457"/>
      <c r="AAH67" s="457"/>
      <c r="AAI67" s="457"/>
      <c r="AAJ67" s="457"/>
      <c r="AAK67" s="457"/>
      <c r="AAL67" s="457"/>
      <c r="AAM67" s="457"/>
      <c r="AAN67" s="457"/>
      <c r="AAO67" s="457"/>
      <c r="AAP67" s="457"/>
      <c r="AAQ67" s="457"/>
      <c r="AAR67" s="457"/>
      <c r="AAS67" s="457"/>
      <c r="AAT67" s="457"/>
      <c r="AAU67" s="457"/>
      <c r="AAV67" s="457"/>
      <c r="AAW67" s="457"/>
      <c r="AAX67" s="457"/>
      <c r="AAY67" s="457"/>
      <c r="AAZ67" s="457"/>
      <c r="ABA67" s="457"/>
      <c r="ABB67" s="457"/>
      <c r="ABC67" s="457"/>
      <c r="ABD67" s="457"/>
      <c r="ABE67" s="457"/>
      <c r="ABF67" s="457"/>
      <c r="ABG67" s="457"/>
      <c r="ABH67" s="457"/>
      <c r="ABI67" s="457"/>
      <c r="ABJ67" s="457"/>
      <c r="ABK67" s="457"/>
      <c r="ABL67" s="457"/>
      <c r="ABM67" s="457"/>
      <c r="ABN67" s="457"/>
      <c r="ABO67" s="457"/>
      <c r="ABP67" s="457"/>
      <c r="ABQ67" s="457"/>
      <c r="ABR67" s="457"/>
      <c r="ABS67" s="457"/>
      <c r="ABT67" s="457"/>
      <c r="ABU67" s="457"/>
    </row>
    <row r="68" spans="1:749" s="430" customFormat="1" ht="4.5" customHeight="1" x14ac:dyDescent="0.3">
      <c r="B68" s="496"/>
      <c r="C68" s="497"/>
      <c r="D68" s="497"/>
      <c r="E68" s="498"/>
      <c r="F68" s="498"/>
      <c r="G68" s="498"/>
      <c r="H68" s="498"/>
      <c r="I68" s="498"/>
      <c r="J68" s="498"/>
      <c r="K68" s="498"/>
      <c r="L68" s="498"/>
      <c r="M68" s="498"/>
      <c r="O68" s="458"/>
      <c r="AD68" s="459"/>
    </row>
    <row r="69" spans="1:749" s="310" customFormat="1" ht="29.25" customHeight="1" x14ac:dyDescent="0.3">
      <c r="A69" s="457"/>
      <c r="B69" s="495"/>
      <c r="C69" s="418" t="s">
        <v>469</v>
      </c>
      <c r="D69" s="304"/>
      <c r="E69" s="748" t="s">
        <v>620</v>
      </c>
      <c r="F69" s="749"/>
      <c r="G69" s="750"/>
      <c r="H69" s="750"/>
      <c r="I69" s="750"/>
      <c r="J69" s="750"/>
      <c r="K69" s="750"/>
      <c r="L69" s="750"/>
      <c r="M69" s="751"/>
      <c r="N69" s="457"/>
      <c r="O69" s="317" t="str">
        <f>K50</f>
        <v/>
      </c>
      <c r="P69" s="430"/>
      <c r="Q69" s="457"/>
      <c r="R69" s="457"/>
      <c r="S69" s="457"/>
      <c r="T69" s="457"/>
      <c r="U69" s="457"/>
      <c r="V69" s="457"/>
      <c r="W69" s="457"/>
      <c r="X69" s="457"/>
      <c r="Y69" s="457"/>
      <c r="Z69" s="457"/>
      <c r="AA69" s="457"/>
      <c r="AB69" s="457"/>
      <c r="AC69" s="457"/>
      <c r="AD69" s="461"/>
      <c r="AE69" s="457"/>
      <c r="AF69" s="457"/>
      <c r="AG69" s="457"/>
      <c r="AH69" s="457"/>
      <c r="AI69" s="457"/>
      <c r="AJ69" s="457"/>
      <c r="AK69" s="457"/>
      <c r="AL69" s="457"/>
      <c r="AM69" s="457"/>
      <c r="AN69" s="457"/>
      <c r="AO69" s="457"/>
      <c r="AP69" s="457"/>
      <c r="AQ69" s="457"/>
      <c r="AR69" s="457"/>
      <c r="AS69" s="457"/>
      <c r="AT69" s="457"/>
      <c r="AU69" s="457"/>
      <c r="AV69" s="457"/>
      <c r="AW69" s="457"/>
      <c r="AX69" s="457"/>
      <c r="AY69" s="457"/>
      <c r="AZ69" s="457"/>
      <c r="BA69" s="457"/>
      <c r="BB69" s="457"/>
      <c r="BC69" s="457"/>
      <c r="BD69" s="457"/>
      <c r="BE69" s="457"/>
      <c r="BF69" s="457"/>
      <c r="BG69" s="457"/>
      <c r="BH69" s="457"/>
      <c r="BI69" s="457"/>
      <c r="BJ69" s="457"/>
      <c r="BK69" s="457"/>
      <c r="BL69" s="457"/>
      <c r="BM69" s="457"/>
      <c r="BN69" s="457"/>
      <c r="BO69" s="457"/>
      <c r="BP69" s="457"/>
      <c r="BQ69" s="457"/>
      <c r="BR69" s="457"/>
      <c r="BS69" s="457"/>
      <c r="BT69" s="457"/>
      <c r="BU69" s="457"/>
      <c r="BV69" s="457"/>
      <c r="BW69" s="457"/>
      <c r="BX69" s="457"/>
      <c r="BY69" s="457"/>
      <c r="BZ69" s="457"/>
      <c r="CA69" s="457"/>
      <c r="CB69" s="457"/>
      <c r="CC69" s="457"/>
      <c r="CD69" s="457"/>
      <c r="CE69" s="457"/>
      <c r="CF69" s="457"/>
      <c r="CG69" s="457"/>
      <c r="CH69" s="457"/>
      <c r="CI69" s="457"/>
      <c r="CJ69" s="457"/>
      <c r="CK69" s="457"/>
      <c r="CL69" s="457"/>
      <c r="CM69" s="457"/>
      <c r="CN69" s="457"/>
      <c r="CO69" s="457"/>
      <c r="CP69" s="457"/>
      <c r="CQ69" s="457"/>
      <c r="CR69" s="457"/>
      <c r="CS69" s="457"/>
      <c r="CT69" s="457"/>
      <c r="CU69" s="457"/>
      <c r="CV69" s="457"/>
      <c r="CW69" s="457"/>
      <c r="CX69" s="457"/>
      <c r="CY69" s="457"/>
      <c r="CZ69" s="457"/>
      <c r="DA69" s="457"/>
      <c r="DB69" s="457"/>
      <c r="DC69" s="457"/>
      <c r="DD69" s="457"/>
      <c r="DE69" s="457"/>
      <c r="DF69" s="457"/>
      <c r="DG69" s="457"/>
      <c r="DH69" s="457"/>
      <c r="DI69" s="457"/>
      <c r="DJ69" s="457"/>
      <c r="DK69" s="457"/>
      <c r="DL69" s="457"/>
      <c r="DM69" s="457"/>
      <c r="DN69" s="457"/>
      <c r="DO69" s="457"/>
      <c r="DP69" s="457"/>
      <c r="DQ69" s="457"/>
      <c r="DR69" s="457"/>
      <c r="DS69" s="457"/>
      <c r="DT69" s="457"/>
      <c r="DU69" s="457"/>
      <c r="DV69" s="457"/>
      <c r="DW69" s="457"/>
      <c r="DX69" s="457"/>
      <c r="DY69" s="457"/>
      <c r="DZ69" s="457"/>
      <c r="EA69" s="457"/>
      <c r="EB69" s="457"/>
      <c r="EC69" s="457"/>
      <c r="ED69" s="457"/>
      <c r="EE69" s="457"/>
      <c r="EF69" s="457"/>
      <c r="EG69" s="457"/>
      <c r="EH69" s="457"/>
      <c r="EI69" s="457"/>
      <c r="EJ69" s="457"/>
      <c r="EK69" s="457"/>
      <c r="EL69" s="457"/>
      <c r="EM69" s="457"/>
      <c r="EN69" s="457"/>
      <c r="EO69" s="457"/>
      <c r="EP69" s="457"/>
      <c r="EQ69" s="457"/>
      <c r="ER69" s="457"/>
      <c r="ES69" s="457"/>
      <c r="ET69" s="457"/>
      <c r="EU69" s="457"/>
      <c r="EV69" s="457"/>
      <c r="EW69" s="457"/>
      <c r="EX69" s="457"/>
      <c r="EY69" s="457"/>
      <c r="EZ69" s="457"/>
      <c r="FA69" s="457"/>
      <c r="FB69" s="457"/>
      <c r="FC69" s="457"/>
      <c r="FD69" s="457"/>
      <c r="FE69" s="457"/>
      <c r="FF69" s="457"/>
      <c r="FG69" s="457"/>
      <c r="FH69" s="457"/>
      <c r="FI69" s="457"/>
      <c r="FJ69" s="457"/>
      <c r="FK69" s="457"/>
      <c r="FL69" s="457"/>
      <c r="FM69" s="457"/>
      <c r="FN69" s="457"/>
      <c r="FO69" s="457"/>
      <c r="FP69" s="457"/>
      <c r="FQ69" s="457"/>
      <c r="FR69" s="457"/>
      <c r="FS69" s="457"/>
      <c r="FT69" s="457"/>
      <c r="FU69" s="457"/>
      <c r="FV69" s="457"/>
      <c r="FW69" s="457"/>
      <c r="FX69" s="457"/>
      <c r="FY69" s="457"/>
      <c r="FZ69" s="457"/>
      <c r="GA69" s="457"/>
      <c r="GB69" s="457"/>
      <c r="GC69" s="457"/>
      <c r="GD69" s="457"/>
      <c r="GE69" s="457"/>
      <c r="GF69" s="457"/>
      <c r="GG69" s="457"/>
      <c r="GH69" s="457"/>
      <c r="GI69" s="457"/>
      <c r="GJ69" s="457"/>
      <c r="GK69" s="457"/>
      <c r="GL69" s="457"/>
      <c r="GM69" s="457"/>
      <c r="GN69" s="457"/>
      <c r="GO69" s="457"/>
      <c r="GP69" s="457"/>
      <c r="GQ69" s="457"/>
      <c r="GR69" s="457"/>
      <c r="GS69" s="457"/>
      <c r="GT69" s="457"/>
      <c r="GU69" s="457"/>
      <c r="GV69" s="457"/>
      <c r="GW69" s="457"/>
      <c r="GX69" s="457"/>
      <c r="GY69" s="457"/>
      <c r="GZ69" s="457"/>
      <c r="HA69" s="457"/>
      <c r="HB69" s="457"/>
      <c r="HC69" s="457"/>
      <c r="HD69" s="457"/>
      <c r="HE69" s="457"/>
      <c r="HF69" s="457"/>
      <c r="HG69" s="457"/>
      <c r="HH69" s="457"/>
      <c r="HI69" s="457"/>
      <c r="HJ69" s="457"/>
      <c r="HK69" s="457"/>
      <c r="HL69" s="457"/>
      <c r="HM69" s="457"/>
      <c r="HN69" s="457"/>
      <c r="HO69" s="457"/>
      <c r="HP69" s="457"/>
      <c r="HQ69" s="457"/>
      <c r="HR69" s="457"/>
      <c r="HS69" s="457"/>
      <c r="HT69" s="457"/>
      <c r="HU69" s="457"/>
      <c r="HV69" s="457"/>
      <c r="HW69" s="457"/>
      <c r="HX69" s="457"/>
      <c r="HY69" s="457"/>
      <c r="HZ69" s="457"/>
      <c r="IA69" s="457"/>
      <c r="IB69" s="457"/>
      <c r="IC69" s="457"/>
      <c r="ID69" s="457"/>
      <c r="IE69" s="457"/>
      <c r="IF69" s="457"/>
      <c r="IG69" s="457"/>
      <c r="IH69" s="457"/>
      <c r="II69" s="457"/>
      <c r="IJ69" s="457"/>
      <c r="IK69" s="457"/>
      <c r="IL69" s="457"/>
      <c r="IM69" s="457"/>
      <c r="IN69" s="457"/>
      <c r="IO69" s="457"/>
      <c r="IP69" s="457"/>
      <c r="IQ69" s="457"/>
      <c r="IR69" s="457"/>
      <c r="IS69" s="457"/>
      <c r="IT69" s="457"/>
      <c r="IU69" s="457"/>
      <c r="IV69" s="457"/>
      <c r="IW69" s="457"/>
      <c r="IX69" s="457"/>
      <c r="IY69" s="457"/>
      <c r="IZ69" s="457"/>
      <c r="JA69" s="457"/>
      <c r="JB69" s="457"/>
      <c r="JC69" s="457"/>
      <c r="JD69" s="457"/>
      <c r="JE69" s="457"/>
      <c r="JF69" s="457"/>
      <c r="JG69" s="457"/>
      <c r="JH69" s="457"/>
      <c r="JI69" s="457"/>
      <c r="JJ69" s="457"/>
      <c r="JK69" s="457"/>
      <c r="JL69" s="457"/>
      <c r="JM69" s="457"/>
      <c r="JN69" s="457"/>
      <c r="JO69" s="457"/>
      <c r="JP69" s="457"/>
      <c r="JQ69" s="457"/>
      <c r="JR69" s="457"/>
      <c r="JS69" s="457"/>
      <c r="JT69" s="457"/>
      <c r="JU69" s="457"/>
      <c r="JV69" s="457"/>
      <c r="JW69" s="457"/>
      <c r="JX69" s="457"/>
      <c r="JY69" s="457"/>
      <c r="JZ69" s="457"/>
      <c r="KA69" s="457"/>
      <c r="KB69" s="457"/>
      <c r="KC69" s="457"/>
      <c r="KD69" s="457"/>
      <c r="KE69" s="457"/>
      <c r="KF69" s="457"/>
      <c r="KG69" s="457"/>
      <c r="KH69" s="457"/>
      <c r="KI69" s="457"/>
      <c r="KJ69" s="457"/>
      <c r="KK69" s="457"/>
      <c r="KL69" s="457"/>
      <c r="KM69" s="457"/>
      <c r="KN69" s="457"/>
      <c r="KO69" s="457"/>
      <c r="KP69" s="457"/>
      <c r="KQ69" s="457"/>
      <c r="KR69" s="457"/>
      <c r="KS69" s="457"/>
      <c r="KT69" s="457"/>
      <c r="KU69" s="457"/>
      <c r="KV69" s="457"/>
      <c r="KW69" s="457"/>
      <c r="KX69" s="457"/>
      <c r="KY69" s="457"/>
      <c r="KZ69" s="457"/>
      <c r="LA69" s="457"/>
      <c r="LB69" s="457"/>
      <c r="LC69" s="457"/>
      <c r="LD69" s="457"/>
      <c r="LE69" s="457"/>
      <c r="LF69" s="457"/>
      <c r="LG69" s="457"/>
      <c r="LH69" s="457"/>
      <c r="LI69" s="457"/>
      <c r="LJ69" s="457"/>
      <c r="LK69" s="457"/>
      <c r="LL69" s="457"/>
      <c r="LM69" s="457"/>
      <c r="LN69" s="457"/>
      <c r="LO69" s="457"/>
      <c r="LP69" s="457"/>
      <c r="LQ69" s="457"/>
      <c r="LR69" s="457"/>
      <c r="LS69" s="457"/>
      <c r="LT69" s="457"/>
      <c r="LU69" s="457"/>
      <c r="LV69" s="457"/>
      <c r="LW69" s="457"/>
      <c r="LX69" s="457"/>
      <c r="LY69" s="457"/>
      <c r="LZ69" s="457"/>
      <c r="MA69" s="457"/>
      <c r="MB69" s="457"/>
      <c r="MC69" s="457"/>
      <c r="MD69" s="457"/>
      <c r="ME69" s="457"/>
      <c r="MF69" s="457"/>
      <c r="MG69" s="457"/>
      <c r="MH69" s="457"/>
      <c r="MI69" s="457"/>
      <c r="MJ69" s="457"/>
      <c r="MK69" s="457"/>
      <c r="ML69" s="457"/>
      <c r="MM69" s="457"/>
      <c r="MN69" s="457"/>
      <c r="MO69" s="457"/>
      <c r="MP69" s="457"/>
      <c r="MQ69" s="457"/>
      <c r="MR69" s="457"/>
      <c r="MS69" s="457"/>
      <c r="MT69" s="457"/>
      <c r="MU69" s="457"/>
      <c r="MV69" s="457"/>
      <c r="MW69" s="457"/>
      <c r="MX69" s="457"/>
      <c r="MY69" s="457"/>
      <c r="MZ69" s="457"/>
      <c r="NA69" s="457"/>
      <c r="NB69" s="457"/>
      <c r="NC69" s="457"/>
      <c r="ND69" s="457"/>
      <c r="NE69" s="457"/>
      <c r="NF69" s="457"/>
      <c r="NG69" s="457"/>
      <c r="NH69" s="457"/>
      <c r="NI69" s="457"/>
      <c r="NJ69" s="457"/>
      <c r="NK69" s="457"/>
      <c r="NL69" s="457"/>
      <c r="NM69" s="457"/>
      <c r="NN69" s="457"/>
      <c r="NO69" s="457"/>
      <c r="NP69" s="457"/>
      <c r="NQ69" s="457"/>
      <c r="NR69" s="457"/>
      <c r="NS69" s="457"/>
      <c r="NT69" s="457"/>
      <c r="NU69" s="457"/>
      <c r="NV69" s="457"/>
      <c r="NW69" s="457"/>
      <c r="NX69" s="457"/>
      <c r="NY69" s="457"/>
      <c r="NZ69" s="457"/>
      <c r="OA69" s="457"/>
      <c r="OB69" s="457"/>
      <c r="OC69" s="457"/>
      <c r="OD69" s="457"/>
      <c r="OE69" s="457"/>
      <c r="OF69" s="457"/>
      <c r="OG69" s="457"/>
      <c r="OH69" s="457"/>
      <c r="OI69" s="457"/>
      <c r="OJ69" s="457"/>
      <c r="OK69" s="457"/>
      <c r="OL69" s="457"/>
      <c r="OM69" s="457"/>
      <c r="ON69" s="457"/>
      <c r="OO69" s="457"/>
      <c r="OP69" s="457"/>
      <c r="OQ69" s="457"/>
      <c r="OR69" s="457"/>
      <c r="OS69" s="457"/>
      <c r="OT69" s="457"/>
      <c r="OU69" s="457"/>
      <c r="OV69" s="457"/>
      <c r="OW69" s="457"/>
      <c r="OX69" s="457"/>
      <c r="OY69" s="457"/>
      <c r="OZ69" s="457"/>
      <c r="PA69" s="457"/>
      <c r="PB69" s="457"/>
      <c r="PC69" s="457"/>
      <c r="PD69" s="457"/>
      <c r="PE69" s="457"/>
      <c r="PF69" s="457"/>
      <c r="PG69" s="457"/>
      <c r="PH69" s="457"/>
      <c r="PI69" s="457"/>
      <c r="PJ69" s="457"/>
      <c r="PK69" s="457"/>
      <c r="PL69" s="457"/>
      <c r="PM69" s="457"/>
      <c r="PN69" s="457"/>
      <c r="PO69" s="457"/>
      <c r="PP69" s="457"/>
      <c r="PQ69" s="457"/>
      <c r="PR69" s="457"/>
      <c r="PS69" s="457"/>
      <c r="PT69" s="457"/>
      <c r="PU69" s="457"/>
      <c r="PV69" s="457"/>
      <c r="PW69" s="457"/>
      <c r="PX69" s="457"/>
      <c r="PY69" s="457"/>
      <c r="PZ69" s="457"/>
      <c r="QA69" s="457"/>
      <c r="QB69" s="457"/>
      <c r="QC69" s="457"/>
      <c r="QD69" s="457"/>
      <c r="QE69" s="457"/>
      <c r="QF69" s="457"/>
      <c r="QG69" s="457"/>
      <c r="QH69" s="457"/>
      <c r="QI69" s="457"/>
      <c r="QJ69" s="457"/>
      <c r="QK69" s="457"/>
      <c r="QL69" s="457"/>
      <c r="QM69" s="457"/>
      <c r="QN69" s="457"/>
      <c r="QO69" s="457"/>
      <c r="QP69" s="457"/>
      <c r="QQ69" s="457"/>
      <c r="QR69" s="457"/>
      <c r="QS69" s="457"/>
      <c r="QT69" s="457"/>
      <c r="QU69" s="457"/>
      <c r="QV69" s="457"/>
      <c r="QW69" s="457"/>
      <c r="QX69" s="457"/>
      <c r="QY69" s="457"/>
      <c r="QZ69" s="457"/>
      <c r="RA69" s="457"/>
      <c r="RB69" s="457"/>
      <c r="RC69" s="457"/>
      <c r="RD69" s="457"/>
      <c r="RE69" s="457"/>
      <c r="RF69" s="457"/>
      <c r="RG69" s="457"/>
      <c r="RH69" s="457"/>
      <c r="RI69" s="457"/>
      <c r="RJ69" s="457"/>
      <c r="RK69" s="457"/>
      <c r="RL69" s="457"/>
      <c r="RM69" s="457"/>
      <c r="RN69" s="457"/>
      <c r="RO69" s="457"/>
      <c r="RP69" s="457"/>
      <c r="RQ69" s="457"/>
      <c r="RR69" s="457"/>
      <c r="RS69" s="457"/>
      <c r="RT69" s="457"/>
      <c r="RU69" s="457"/>
      <c r="RV69" s="457"/>
      <c r="RW69" s="457"/>
      <c r="RX69" s="457"/>
      <c r="RY69" s="457"/>
      <c r="RZ69" s="457"/>
      <c r="SA69" s="457"/>
      <c r="SB69" s="457"/>
      <c r="SC69" s="457"/>
      <c r="SD69" s="457"/>
      <c r="SE69" s="457"/>
      <c r="SF69" s="457"/>
      <c r="SG69" s="457"/>
      <c r="SH69" s="457"/>
      <c r="SI69" s="457"/>
      <c r="SJ69" s="457"/>
      <c r="SK69" s="457"/>
      <c r="SL69" s="457"/>
      <c r="SM69" s="457"/>
      <c r="SN69" s="457"/>
      <c r="SO69" s="457"/>
      <c r="SP69" s="457"/>
      <c r="SQ69" s="457"/>
      <c r="SR69" s="457"/>
      <c r="SS69" s="457"/>
      <c r="ST69" s="457"/>
      <c r="SU69" s="457"/>
      <c r="SV69" s="457"/>
      <c r="SW69" s="457"/>
      <c r="SX69" s="457"/>
      <c r="SY69" s="457"/>
      <c r="SZ69" s="457"/>
      <c r="TA69" s="457"/>
      <c r="TB69" s="457"/>
      <c r="TC69" s="457"/>
      <c r="TD69" s="457"/>
      <c r="TE69" s="457"/>
      <c r="TF69" s="457"/>
      <c r="TG69" s="457"/>
      <c r="TH69" s="457"/>
      <c r="TI69" s="457"/>
      <c r="TJ69" s="457"/>
      <c r="TK69" s="457"/>
      <c r="TL69" s="457"/>
      <c r="TM69" s="457"/>
      <c r="TN69" s="457"/>
      <c r="TO69" s="457"/>
      <c r="TP69" s="457"/>
      <c r="TQ69" s="457"/>
      <c r="TR69" s="457"/>
      <c r="TS69" s="457"/>
      <c r="TT69" s="457"/>
      <c r="TU69" s="457"/>
      <c r="TV69" s="457"/>
      <c r="TW69" s="457"/>
      <c r="TX69" s="457"/>
      <c r="TY69" s="457"/>
      <c r="TZ69" s="457"/>
      <c r="UA69" s="457"/>
      <c r="UB69" s="457"/>
      <c r="UC69" s="457"/>
      <c r="UD69" s="457"/>
      <c r="UE69" s="457"/>
      <c r="UF69" s="457"/>
      <c r="UG69" s="457"/>
      <c r="UH69" s="457"/>
      <c r="UI69" s="457"/>
      <c r="UJ69" s="457"/>
      <c r="UK69" s="457"/>
      <c r="UL69" s="457"/>
      <c r="UM69" s="457"/>
      <c r="UN69" s="457"/>
      <c r="UO69" s="457"/>
      <c r="UP69" s="457"/>
      <c r="UQ69" s="457"/>
      <c r="UR69" s="457"/>
      <c r="US69" s="457"/>
      <c r="UT69" s="457"/>
      <c r="UU69" s="457"/>
      <c r="UV69" s="457"/>
      <c r="UW69" s="457"/>
      <c r="UX69" s="457"/>
      <c r="UY69" s="457"/>
      <c r="UZ69" s="457"/>
      <c r="VA69" s="457"/>
      <c r="VB69" s="457"/>
      <c r="VC69" s="457"/>
      <c r="VD69" s="457"/>
      <c r="VE69" s="457"/>
      <c r="VF69" s="457"/>
      <c r="VG69" s="457"/>
      <c r="VH69" s="457"/>
      <c r="VI69" s="457"/>
      <c r="VJ69" s="457"/>
      <c r="VK69" s="457"/>
      <c r="VL69" s="457"/>
      <c r="VM69" s="457"/>
      <c r="VN69" s="457"/>
      <c r="VO69" s="457"/>
      <c r="VP69" s="457"/>
      <c r="VQ69" s="457"/>
      <c r="VR69" s="457"/>
      <c r="VS69" s="457"/>
      <c r="VT69" s="457"/>
      <c r="VU69" s="457"/>
      <c r="VV69" s="457"/>
      <c r="VW69" s="457"/>
      <c r="VX69" s="457"/>
      <c r="VY69" s="457"/>
      <c r="VZ69" s="457"/>
      <c r="WA69" s="457"/>
      <c r="WB69" s="457"/>
      <c r="WC69" s="457"/>
      <c r="WD69" s="457"/>
      <c r="WE69" s="457"/>
      <c r="WF69" s="457"/>
      <c r="WG69" s="457"/>
      <c r="WH69" s="457"/>
      <c r="WI69" s="457"/>
      <c r="WJ69" s="457"/>
      <c r="WK69" s="457"/>
      <c r="WL69" s="457"/>
      <c r="WM69" s="457"/>
      <c r="WN69" s="457"/>
      <c r="WO69" s="457"/>
      <c r="WP69" s="457"/>
      <c r="WQ69" s="457"/>
      <c r="WR69" s="457"/>
      <c r="WS69" s="457"/>
      <c r="WT69" s="457"/>
      <c r="WU69" s="457"/>
      <c r="WV69" s="457"/>
      <c r="WW69" s="457"/>
      <c r="WX69" s="457"/>
      <c r="WY69" s="457"/>
      <c r="WZ69" s="457"/>
      <c r="XA69" s="457"/>
      <c r="XB69" s="457"/>
      <c r="XC69" s="457"/>
      <c r="XD69" s="457"/>
      <c r="XE69" s="457"/>
      <c r="XF69" s="457"/>
      <c r="XG69" s="457"/>
      <c r="XH69" s="457"/>
      <c r="XI69" s="457"/>
      <c r="XJ69" s="457"/>
      <c r="XK69" s="457"/>
      <c r="XL69" s="457"/>
      <c r="XM69" s="457"/>
      <c r="XN69" s="457"/>
      <c r="XO69" s="457"/>
      <c r="XP69" s="457"/>
      <c r="XQ69" s="457"/>
      <c r="XR69" s="457"/>
      <c r="XS69" s="457"/>
      <c r="XT69" s="457"/>
      <c r="XU69" s="457"/>
      <c r="XV69" s="457"/>
      <c r="XW69" s="457"/>
      <c r="XX69" s="457"/>
      <c r="XY69" s="457"/>
      <c r="XZ69" s="457"/>
      <c r="YA69" s="457"/>
      <c r="YB69" s="457"/>
      <c r="YC69" s="457"/>
      <c r="YD69" s="457"/>
      <c r="YE69" s="457"/>
      <c r="YF69" s="457"/>
      <c r="YG69" s="457"/>
      <c r="YH69" s="457"/>
      <c r="YI69" s="457"/>
      <c r="YJ69" s="457"/>
      <c r="YK69" s="457"/>
      <c r="YL69" s="457"/>
      <c r="YM69" s="457"/>
      <c r="YN69" s="457"/>
      <c r="YO69" s="457"/>
      <c r="YP69" s="457"/>
      <c r="YQ69" s="457"/>
      <c r="YR69" s="457"/>
      <c r="YS69" s="457"/>
      <c r="YT69" s="457"/>
      <c r="YU69" s="457"/>
      <c r="YV69" s="457"/>
      <c r="YW69" s="457"/>
      <c r="YX69" s="457"/>
      <c r="YY69" s="457"/>
      <c r="YZ69" s="457"/>
      <c r="ZA69" s="457"/>
      <c r="ZB69" s="457"/>
      <c r="ZC69" s="457"/>
      <c r="ZD69" s="457"/>
      <c r="ZE69" s="457"/>
      <c r="ZF69" s="457"/>
      <c r="ZG69" s="457"/>
      <c r="ZH69" s="457"/>
      <c r="ZI69" s="457"/>
      <c r="ZJ69" s="457"/>
      <c r="ZK69" s="457"/>
      <c r="ZL69" s="457"/>
      <c r="ZM69" s="457"/>
      <c r="ZN69" s="457"/>
      <c r="ZO69" s="457"/>
      <c r="ZP69" s="457"/>
      <c r="ZQ69" s="457"/>
      <c r="ZR69" s="457"/>
      <c r="ZS69" s="457"/>
      <c r="ZT69" s="457"/>
      <c r="ZU69" s="457"/>
      <c r="ZV69" s="457"/>
      <c r="ZW69" s="457"/>
      <c r="ZX69" s="457"/>
      <c r="ZY69" s="457"/>
      <c r="ZZ69" s="457"/>
      <c r="AAA69" s="457"/>
      <c r="AAB69" s="457"/>
      <c r="AAC69" s="457"/>
      <c r="AAD69" s="457"/>
      <c r="AAE69" s="457"/>
      <c r="AAF69" s="457"/>
      <c r="AAG69" s="457"/>
      <c r="AAH69" s="457"/>
      <c r="AAI69" s="457"/>
      <c r="AAJ69" s="457"/>
      <c r="AAK69" s="457"/>
      <c r="AAL69" s="457"/>
      <c r="AAM69" s="457"/>
      <c r="AAN69" s="457"/>
      <c r="AAO69" s="457"/>
      <c r="AAP69" s="457"/>
      <c r="AAQ69" s="457"/>
      <c r="AAR69" s="457"/>
      <c r="AAS69" s="457"/>
      <c r="AAT69" s="457"/>
      <c r="AAU69" s="457"/>
      <c r="AAV69" s="457"/>
      <c r="AAW69" s="457"/>
      <c r="AAX69" s="457"/>
      <c r="AAY69" s="457"/>
      <c r="AAZ69" s="457"/>
      <c r="ABA69" s="457"/>
      <c r="ABB69" s="457"/>
      <c r="ABC69" s="457"/>
      <c r="ABD69" s="457"/>
      <c r="ABE69" s="457"/>
      <c r="ABF69" s="457"/>
      <c r="ABG69" s="457"/>
      <c r="ABH69" s="457"/>
      <c r="ABI69" s="457"/>
      <c r="ABJ69" s="457"/>
      <c r="ABK69" s="457"/>
      <c r="ABL69" s="457"/>
      <c r="ABM69" s="457"/>
      <c r="ABN69" s="457"/>
      <c r="ABO69" s="457"/>
      <c r="ABP69" s="457"/>
      <c r="ABQ69" s="457"/>
      <c r="ABR69" s="457"/>
      <c r="ABS69" s="457"/>
      <c r="ABT69" s="457"/>
      <c r="ABU69" s="457"/>
    </row>
    <row r="70" spans="1:749" s="430" customFormat="1" ht="4.5" customHeight="1" x14ac:dyDescent="0.3">
      <c r="B70" s="496"/>
      <c r="C70" s="497"/>
      <c r="D70" s="497"/>
      <c r="E70" s="498"/>
      <c r="F70" s="498"/>
      <c r="G70" s="499"/>
      <c r="H70" s="499"/>
      <c r="I70" s="499"/>
      <c r="J70" s="499"/>
      <c r="K70" s="499"/>
      <c r="L70" s="499"/>
      <c r="M70" s="499"/>
      <c r="O70" s="458"/>
      <c r="AD70" s="459"/>
    </row>
    <row r="71" spans="1:749" s="310" customFormat="1" ht="29.25" customHeight="1" x14ac:dyDescent="0.3">
      <c r="A71" s="457"/>
      <c r="B71" s="495"/>
      <c r="C71" s="418" t="s">
        <v>470</v>
      </c>
      <c r="D71" s="304"/>
      <c r="E71" s="753" t="s">
        <v>482</v>
      </c>
      <c r="F71" s="754"/>
      <c r="G71" s="754"/>
      <c r="H71" s="754"/>
      <c r="I71" s="754"/>
      <c r="J71" s="754"/>
      <c r="K71" s="754"/>
      <c r="L71" s="754"/>
      <c r="M71" s="755"/>
      <c r="N71" s="457"/>
      <c r="O71" s="317" t="str">
        <f>IF(ISNUMBER(O69),ROUND(0.1*O69/1.1,0),"")</f>
        <v/>
      </c>
      <c r="P71" s="430"/>
      <c r="Q71" s="457"/>
      <c r="R71" s="457"/>
      <c r="S71" s="457"/>
      <c r="T71" s="457"/>
      <c r="U71" s="457"/>
      <c r="V71" s="457"/>
      <c r="W71" s="457"/>
      <c r="X71" s="457"/>
      <c r="Y71" s="457"/>
      <c r="Z71" s="457"/>
      <c r="AA71" s="457"/>
      <c r="AB71" s="457"/>
      <c r="AC71" s="457"/>
      <c r="AD71" s="461"/>
      <c r="AE71" s="457"/>
      <c r="AF71" s="457"/>
      <c r="AG71" s="457"/>
      <c r="AH71" s="457"/>
      <c r="AI71" s="457"/>
      <c r="AJ71" s="457"/>
      <c r="AK71" s="457"/>
      <c r="AL71" s="457"/>
      <c r="AM71" s="457"/>
      <c r="AN71" s="457"/>
      <c r="AO71" s="457"/>
      <c r="AP71" s="457"/>
      <c r="AQ71" s="45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7"/>
      <c r="BR71" s="457"/>
      <c r="BS71" s="457"/>
      <c r="BT71" s="457"/>
      <c r="BU71" s="457"/>
      <c r="BV71" s="457"/>
      <c r="BW71" s="457"/>
      <c r="BX71" s="457"/>
      <c r="BY71" s="457"/>
      <c r="BZ71" s="457"/>
      <c r="CA71" s="457"/>
      <c r="CB71" s="457"/>
      <c r="CC71" s="457"/>
      <c r="CD71" s="457"/>
      <c r="CE71" s="457"/>
      <c r="CF71" s="457"/>
      <c r="CG71" s="457"/>
      <c r="CH71" s="457"/>
      <c r="CI71" s="457"/>
      <c r="CJ71" s="457"/>
      <c r="CK71" s="457"/>
      <c r="CL71" s="457"/>
      <c r="CM71" s="457"/>
      <c r="CN71" s="457"/>
      <c r="CO71" s="457"/>
      <c r="CP71" s="457"/>
      <c r="CQ71" s="457"/>
      <c r="CR71" s="457"/>
      <c r="CS71" s="457"/>
      <c r="CT71" s="457"/>
      <c r="CU71" s="457"/>
      <c r="CV71" s="457"/>
      <c r="CW71" s="457"/>
      <c r="CX71" s="457"/>
      <c r="CY71" s="457"/>
      <c r="CZ71" s="457"/>
      <c r="DA71" s="457"/>
      <c r="DB71" s="457"/>
      <c r="DC71" s="457"/>
      <c r="DD71" s="457"/>
      <c r="DE71" s="457"/>
      <c r="DF71" s="457"/>
      <c r="DG71" s="457"/>
      <c r="DH71" s="457"/>
      <c r="DI71" s="457"/>
      <c r="DJ71" s="457"/>
      <c r="DK71" s="457"/>
      <c r="DL71" s="457"/>
      <c r="DM71" s="457"/>
      <c r="DN71" s="457"/>
      <c r="DO71" s="457"/>
      <c r="DP71" s="457"/>
      <c r="DQ71" s="457"/>
      <c r="DR71" s="457"/>
      <c r="DS71" s="457"/>
      <c r="DT71" s="457"/>
      <c r="DU71" s="457"/>
      <c r="DV71" s="457"/>
      <c r="DW71" s="457"/>
      <c r="DX71" s="457"/>
      <c r="DY71" s="457"/>
      <c r="DZ71" s="457"/>
      <c r="EA71" s="457"/>
      <c r="EB71" s="457"/>
      <c r="EC71" s="457"/>
      <c r="ED71" s="457"/>
      <c r="EE71" s="457"/>
      <c r="EF71" s="457"/>
      <c r="EG71" s="457"/>
      <c r="EH71" s="457"/>
      <c r="EI71" s="457"/>
      <c r="EJ71" s="457"/>
      <c r="EK71" s="457"/>
      <c r="EL71" s="457"/>
      <c r="EM71" s="457"/>
      <c r="EN71" s="457"/>
      <c r="EO71" s="457"/>
      <c r="EP71" s="457"/>
      <c r="EQ71" s="457"/>
      <c r="ER71" s="457"/>
      <c r="ES71" s="457"/>
      <c r="ET71" s="457"/>
      <c r="EU71" s="457"/>
      <c r="EV71" s="457"/>
      <c r="EW71" s="457"/>
      <c r="EX71" s="457"/>
      <c r="EY71" s="457"/>
      <c r="EZ71" s="457"/>
      <c r="FA71" s="457"/>
      <c r="FB71" s="457"/>
      <c r="FC71" s="457"/>
      <c r="FD71" s="457"/>
      <c r="FE71" s="457"/>
      <c r="FF71" s="457"/>
      <c r="FG71" s="457"/>
      <c r="FH71" s="457"/>
      <c r="FI71" s="457"/>
      <c r="FJ71" s="457"/>
      <c r="FK71" s="457"/>
      <c r="FL71" s="457"/>
      <c r="FM71" s="457"/>
      <c r="FN71" s="457"/>
      <c r="FO71" s="457"/>
      <c r="FP71" s="457"/>
      <c r="FQ71" s="457"/>
      <c r="FR71" s="457"/>
      <c r="FS71" s="457"/>
      <c r="FT71" s="457"/>
      <c r="FU71" s="457"/>
      <c r="FV71" s="457"/>
      <c r="FW71" s="457"/>
      <c r="FX71" s="457"/>
      <c r="FY71" s="457"/>
      <c r="FZ71" s="457"/>
      <c r="GA71" s="457"/>
      <c r="GB71" s="457"/>
      <c r="GC71" s="457"/>
      <c r="GD71" s="457"/>
      <c r="GE71" s="457"/>
      <c r="GF71" s="457"/>
      <c r="GG71" s="457"/>
      <c r="GH71" s="457"/>
      <c r="GI71" s="457"/>
      <c r="GJ71" s="457"/>
      <c r="GK71" s="457"/>
      <c r="GL71" s="457"/>
      <c r="GM71" s="457"/>
      <c r="GN71" s="457"/>
      <c r="GO71" s="457"/>
      <c r="GP71" s="457"/>
      <c r="GQ71" s="457"/>
      <c r="GR71" s="457"/>
      <c r="GS71" s="457"/>
      <c r="GT71" s="457"/>
      <c r="GU71" s="457"/>
      <c r="GV71" s="457"/>
      <c r="GW71" s="457"/>
      <c r="GX71" s="457"/>
      <c r="GY71" s="457"/>
      <c r="GZ71" s="457"/>
      <c r="HA71" s="457"/>
      <c r="HB71" s="457"/>
      <c r="HC71" s="457"/>
      <c r="HD71" s="457"/>
      <c r="HE71" s="457"/>
      <c r="HF71" s="457"/>
      <c r="HG71" s="457"/>
      <c r="HH71" s="457"/>
      <c r="HI71" s="457"/>
      <c r="HJ71" s="457"/>
      <c r="HK71" s="457"/>
      <c r="HL71" s="457"/>
      <c r="HM71" s="457"/>
      <c r="HN71" s="457"/>
      <c r="HO71" s="457"/>
      <c r="HP71" s="457"/>
      <c r="HQ71" s="457"/>
      <c r="HR71" s="457"/>
      <c r="HS71" s="457"/>
      <c r="HT71" s="457"/>
      <c r="HU71" s="457"/>
      <c r="HV71" s="457"/>
      <c r="HW71" s="457"/>
      <c r="HX71" s="457"/>
      <c r="HY71" s="457"/>
      <c r="HZ71" s="457"/>
      <c r="IA71" s="457"/>
      <c r="IB71" s="457"/>
      <c r="IC71" s="457"/>
      <c r="ID71" s="457"/>
      <c r="IE71" s="457"/>
      <c r="IF71" s="457"/>
      <c r="IG71" s="457"/>
      <c r="IH71" s="457"/>
      <c r="II71" s="457"/>
      <c r="IJ71" s="457"/>
      <c r="IK71" s="457"/>
      <c r="IL71" s="457"/>
      <c r="IM71" s="457"/>
      <c r="IN71" s="457"/>
      <c r="IO71" s="457"/>
      <c r="IP71" s="457"/>
      <c r="IQ71" s="457"/>
      <c r="IR71" s="457"/>
      <c r="IS71" s="457"/>
      <c r="IT71" s="457"/>
      <c r="IU71" s="457"/>
      <c r="IV71" s="457"/>
      <c r="IW71" s="457"/>
      <c r="IX71" s="457"/>
      <c r="IY71" s="457"/>
      <c r="IZ71" s="457"/>
      <c r="JA71" s="457"/>
      <c r="JB71" s="457"/>
      <c r="JC71" s="457"/>
      <c r="JD71" s="457"/>
      <c r="JE71" s="457"/>
      <c r="JF71" s="457"/>
      <c r="JG71" s="457"/>
      <c r="JH71" s="457"/>
      <c r="JI71" s="457"/>
      <c r="JJ71" s="457"/>
      <c r="JK71" s="457"/>
      <c r="JL71" s="457"/>
      <c r="JM71" s="457"/>
      <c r="JN71" s="457"/>
      <c r="JO71" s="457"/>
      <c r="JP71" s="457"/>
      <c r="JQ71" s="457"/>
      <c r="JR71" s="457"/>
      <c r="JS71" s="457"/>
      <c r="JT71" s="457"/>
      <c r="JU71" s="457"/>
      <c r="JV71" s="457"/>
      <c r="JW71" s="457"/>
      <c r="JX71" s="457"/>
      <c r="JY71" s="457"/>
      <c r="JZ71" s="457"/>
      <c r="KA71" s="457"/>
      <c r="KB71" s="457"/>
      <c r="KC71" s="457"/>
      <c r="KD71" s="457"/>
      <c r="KE71" s="457"/>
      <c r="KF71" s="457"/>
      <c r="KG71" s="457"/>
      <c r="KH71" s="457"/>
      <c r="KI71" s="457"/>
      <c r="KJ71" s="457"/>
      <c r="KK71" s="457"/>
      <c r="KL71" s="457"/>
      <c r="KM71" s="457"/>
      <c r="KN71" s="457"/>
      <c r="KO71" s="457"/>
      <c r="KP71" s="457"/>
      <c r="KQ71" s="457"/>
      <c r="KR71" s="457"/>
      <c r="KS71" s="457"/>
      <c r="KT71" s="457"/>
      <c r="KU71" s="457"/>
      <c r="KV71" s="457"/>
      <c r="KW71" s="457"/>
      <c r="KX71" s="457"/>
      <c r="KY71" s="457"/>
      <c r="KZ71" s="457"/>
      <c r="LA71" s="457"/>
      <c r="LB71" s="457"/>
      <c r="LC71" s="457"/>
      <c r="LD71" s="457"/>
      <c r="LE71" s="457"/>
      <c r="LF71" s="457"/>
      <c r="LG71" s="457"/>
      <c r="LH71" s="457"/>
      <c r="LI71" s="457"/>
      <c r="LJ71" s="457"/>
      <c r="LK71" s="457"/>
      <c r="LL71" s="457"/>
      <c r="LM71" s="457"/>
      <c r="LN71" s="457"/>
      <c r="LO71" s="457"/>
      <c r="LP71" s="457"/>
      <c r="LQ71" s="457"/>
      <c r="LR71" s="457"/>
      <c r="LS71" s="457"/>
      <c r="LT71" s="457"/>
      <c r="LU71" s="457"/>
      <c r="LV71" s="457"/>
      <c r="LW71" s="457"/>
      <c r="LX71" s="457"/>
      <c r="LY71" s="457"/>
      <c r="LZ71" s="457"/>
      <c r="MA71" s="457"/>
      <c r="MB71" s="457"/>
      <c r="MC71" s="457"/>
      <c r="MD71" s="457"/>
      <c r="ME71" s="457"/>
      <c r="MF71" s="457"/>
      <c r="MG71" s="457"/>
      <c r="MH71" s="457"/>
      <c r="MI71" s="457"/>
      <c r="MJ71" s="457"/>
      <c r="MK71" s="457"/>
      <c r="ML71" s="457"/>
      <c r="MM71" s="457"/>
      <c r="MN71" s="457"/>
      <c r="MO71" s="457"/>
      <c r="MP71" s="457"/>
      <c r="MQ71" s="457"/>
      <c r="MR71" s="457"/>
      <c r="MS71" s="457"/>
      <c r="MT71" s="457"/>
      <c r="MU71" s="457"/>
      <c r="MV71" s="457"/>
      <c r="MW71" s="457"/>
      <c r="MX71" s="457"/>
      <c r="MY71" s="457"/>
      <c r="MZ71" s="457"/>
      <c r="NA71" s="457"/>
      <c r="NB71" s="457"/>
      <c r="NC71" s="457"/>
      <c r="ND71" s="457"/>
      <c r="NE71" s="457"/>
      <c r="NF71" s="457"/>
      <c r="NG71" s="457"/>
      <c r="NH71" s="457"/>
      <c r="NI71" s="457"/>
      <c r="NJ71" s="457"/>
      <c r="NK71" s="457"/>
      <c r="NL71" s="457"/>
      <c r="NM71" s="457"/>
      <c r="NN71" s="457"/>
      <c r="NO71" s="457"/>
      <c r="NP71" s="457"/>
      <c r="NQ71" s="457"/>
      <c r="NR71" s="457"/>
      <c r="NS71" s="457"/>
      <c r="NT71" s="457"/>
      <c r="NU71" s="457"/>
      <c r="NV71" s="457"/>
      <c r="NW71" s="457"/>
      <c r="NX71" s="457"/>
      <c r="NY71" s="457"/>
      <c r="NZ71" s="457"/>
      <c r="OA71" s="457"/>
      <c r="OB71" s="457"/>
      <c r="OC71" s="457"/>
      <c r="OD71" s="457"/>
      <c r="OE71" s="457"/>
      <c r="OF71" s="457"/>
      <c r="OG71" s="457"/>
      <c r="OH71" s="457"/>
      <c r="OI71" s="457"/>
      <c r="OJ71" s="457"/>
      <c r="OK71" s="457"/>
      <c r="OL71" s="457"/>
      <c r="OM71" s="457"/>
      <c r="ON71" s="457"/>
      <c r="OO71" s="457"/>
      <c r="OP71" s="457"/>
      <c r="OQ71" s="457"/>
      <c r="OR71" s="457"/>
      <c r="OS71" s="457"/>
      <c r="OT71" s="457"/>
      <c r="OU71" s="457"/>
      <c r="OV71" s="457"/>
      <c r="OW71" s="457"/>
      <c r="OX71" s="457"/>
      <c r="OY71" s="457"/>
      <c r="OZ71" s="457"/>
      <c r="PA71" s="457"/>
      <c r="PB71" s="457"/>
      <c r="PC71" s="457"/>
      <c r="PD71" s="457"/>
      <c r="PE71" s="457"/>
      <c r="PF71" s="457"/>
      <c r="PG71" s="457"/>
      <c r="PH71" s="457"/>
      <c r="PI71" s="457"/>
      <c r="PJ71" s="457"/>
      <c r="PK71" s="457"/>
      <c r="PL71" s="457"/>
      <c r="PM71" s="457"/>
      <c r="PN71" s="457"/>
      <c r="PO71" s="457"/>
      <c r="PP71" s="457"/>
      <c r="PQ71" s="457"/>
      <c r="PR71" s="457"/>
      <c r="PS71" s="457"/>
      <c r="PT71" s="457"/>
      <c r="PU71" s="457"/>
      <c r="PV71" s="457"/>
      <c r="PW71" s="457"/>
      <c r="PX71" s="457"/>
      <c r="PY71" s="457"/>
      <c r="PZ71" s="457"/>
      <c r="QA71" s="457"/>
      <c r="QB71" s="457"/>
      <c r="QC71" s="457"/>
      <c r="QD71" s="457"/>
      <c r="QE71" s="457"/>
      <c r="QF71" s="457"/>
      <c r="QG71" s="457"/>
      <c r="QH71" s="457"/>
      <c r="QI71" s="457"/>
      <c r="QJ71" s="457"/>
      <c r="QK71" s="457"/>
      <c r="QL71" s="457"/>
      <c r="QM71" s="457"/>
      <c r="QN71" s="457"/>
      <c r="QO71" s="457"/>
      <c r="QP71" s="457"/>
      <c r="QQ71" s="457"/>
      <c r="QR71" s="457"/>
      <c r="QS71" s="457"/>
      <c r="QT71" s="457"/>
      <c r="QU71" s="457"/>
      <c r="QV71" s="457"/>
      <c r="QW71" s="457"/>
      <c r="QX71" s="457"/>
      <c r="QY71" s="457"/>
      <c r="QZ71" s="457"/>
      <c r="RA71" s="457"/>
      <c r="RB71" s="457"/>
      <c r="RC71" s="457"/>
      <c r="RD71" s="457"/>
      <c r="RE71" s="457"/>
      <c r="RF71" s="457"/>
      <c r="RG71" s="457"/>
      <c r="RH71" s="457"/>
      <c r="RI71" s="457"/>
      <c r="RJ71" s="457"/>
      <c r="RK71" s="457"/>
      <c r="RL71" s="457"/>
      <c r="RM71" s="457"/>
      <c r="RN71" s="457"/>
      <c r="RO71" s="457"/>
      <c r="RP71" s="457"/>
      <c r="RQ71" s="457"/>
      <c r="RR71" s="457"/>
      <c r="RS71" s="457"/>
      <c r="RT71" s="457"/>
      <c r="RU71" s="457"/>
      <c r="RV71" s="457"/>
      <c r="RW71" s="457"/>
      <c r="RX71" s="457"/>
      <c r="RY71" s="457"/>
      <c r="RZ71" s="457"/>
      <c r="SA71" s="457"/>
      <c r="SB71" s="457"/>
      <c r="SC71" s="457"/>
      <c r="SD71" s="457"/>
      <c r="SE71" s="457"/>
      <c r="SF71" s="457"/>
      <c r="SG71" s="457"/>
      <c r="SH71" s="457"/>
      <c r="SI71" s="457"/>
      <c r="SJ71" s="457"/>
      <c r="SK71" s="457"/>
      <c r="SL71" s="457"/>
      <c r="SM71" s="457"/>
      <c r="SN71" s="457"/>
      <c r="SO71" s="457"/>
      <c r="SP71" s="457"/>
      <c r="SQ71" s="457"/>
      <c r="SR71" s="457"/>
      <c r="SS71" s="457"/>
      <c r="ST71" s="457"/>
      <c r="SU71" s="457"/>
      <c r="SV71" s="457"/>
      <c r="SW71" s="457"/>
      <c r="SX71" s="457"/>
      <c r="SY71" s="457"/>
      <c r="SZ71" s="457"/>
      <c r="TA71" s="457"/>
      <c r="TB71" s="457"/>
      <c r="TC71" s="457"/>
      <c r="TD71" s="457"/>
      <c r="TE71" s="457"/>
      <c r="TF71" s="457"/>
      <c r="TG71" s="457"/>
      <c r="TH71" s="457"/>
      <c r="TI71" s="457"/>
      <c r="TJ71" s="457"/>
      <c r="TK71" s="457"/>
      <c r="TL71" s="457"/>
      <c r="TM71" s="457"/>
      <c r="TN71" s="457"/>
      <c r="TO71" s="457"/>
      <c r="TP71" s="457"/>
      <c r="TQ71" s="457"/>
      <c r="TR71" s="457"/>
      <c r="TS71" s="457"/>
      <c r="TT71" s="457"/>
      <c r="TU71" s="457"/>
      <c r="TV71" s="457"/>
      <c r="TW71" s="457"/>
      <c r="TX71" s="457"/>
      <c r="TY71" s="457"/>
      <c r="TZ71" s="457"/>
      <c r="UA71" s="457"/>
      <c r="UB71" s="457"/>
      <c r="UC71" s="457"/>
      <c r="UD71" s="457"/>
      <c r="UE71" s="457"/>
      <c r="UF71" s="457"/>
      <c r="UG71" s="457"/>
      <c r="UH71" s="457"/>
      <c r="UI71" s="457"/>
      <c r="UJ71" s="457"/>
      <c r="UK71" s="457"/>
      <c r="UL71" s="457"/>
      <c r="UM71" s="457"/>
      <c r="UN71" s="457"/>
      <c r="UO71" s="457"/>
      <c r="UP71" s="457"/>
      <c r="UQ71" s="457"/>
      <c r="UR71" s="457"/>
      <c r="US71" s="457"/>
      <c r="UT71" s="457"/>
      <c r="UU71" s="457"/>
      <c r="UV71" s="457"/>
      <c r="UW71" s="457"/>
      <c r="UX71" s="457"/>
      <c r="UY71" s="457"/>
      <c r="UZ71" s="457"/>
      <c r="VA71" s="457"/>
      <c r="VB71" s="457"/>
      <c r="VC71" s="457"/>
      <c r="VD71" s="457"/>
      <c r="VE71" s="457"/>
      <c r="VF71" s="457"/>
      <c r="VG71" s="457"/>
      <c r="VH71" s="457"/>
      <c r="VI71" s="457"/>
      <c r="VJ71" s="457"/>
      <c r="VK71" s="457"/>
      <c r="VL71" s="457"/>
      <c r="VM71" s="457"/>
      <c r="VN71" s="457"/>
      <c r="VO71" s="457"/>
      <c r="VP71" s="457"/>
      <c r="VQ71" s="457"/>
      <c r="VR71" s="457"/>
      <c r="VS71" s="457"/>
      <c r="VT71" s="457"/>
      <c r="VU71" s="457"/>
      <c r="VV71" s="457"/>
      <c r="VW71" s="457"/>
      <c r="VX71" s="457"/>
      <c r="VY71" s="457"/>
      <c r="VZ71" s="457"/>
      <c r="WA71" s="457"/>
      <c r="WB71" s="457"/>
      <c r="WC71" s="457"/>
      <c r="WD71" s="457"/>
      <c r="WE71" s="457"/>
      <c r="WF71" s="457"/>
      <c r="WG71" s="457"/>
      <c r="WH71" s="457"/>
      <c r="WI71" s="457"/>
      <c r="WJ71" s="457"/>
      <c r="WK71" s="457"/>
      <c r="WL71" s="457"/>
      <c r="WM71" s="457"/>
      <c r="WN71" s="457"/>
      <c r="WO71" s="457"/>
      <c r="WP71" s="457"/>
      <c r="WQ71" s="457"/>
      <c r="WR71" s="457"/>
      <c r="WS71" s="457"/>
      <c r="WT71" s="457"/>
      <c r="WU71" s="457"/>
      <c r="WV71" s="457"/>
      <c r="WW71" s="457"/>
      <c r="WX71" s="457"/>
      <c r="WY71" s="457"/>
      <c r="WZ71" s="457"/>
      <c r="XA71" s="457"/>
      <c r="XB71" s="457"/>
      <c r="XC71" s="457"/>
      <c r="XD71" s="457"/>
      <c r="XE71" s="457"/>
      <c r="XF71" s="457"/>
      <c r="XG71" s="457"/>
      <c r="XH71" s="457"/>
      <c r="XI71" s="457"/>
      <c r="XJ71" s="457"/>
      <c r="XK71" s="457"/>
      <c r="XL71" s="457"/>
      <c r="XM71" s="457"/>
      <c r="XN71" s="457"/>
      <c r="XO71" s="457"/>
      <c r="XP71" s="457"/>
      <c r="XQ71" s="457"/>
      <c r="XR71" s="457"/>
      <c r="XS71" s="457"/>
      <c r="XT71" s="457"/>
      <c r="XU71" s="457"/>
      <c r="XV71" s="457"/>
      <c r="XW71" s="457"/>
      <c r="XX71" s="457"/>
      <c r="XY71" s="457"/>
      <c r="XZ71" s="457"/>
      <c r="YA71" s="457"/>
      <c r="YB71" s="457"/>
      <c r="YC71" s="457"/>
      <c r="YD71" s="457"/>
      <c r="YE71" s="457"/>
      <c r="YF71" s="457"/>
      <c r="YG71" s="457"/>
      <c r="YH71" s="457"/>
      <c r="YI71" s="457"/>
      <c r="YJ71" s="457"/>
      <c r="YK71" s="457"/>
      <c r="YL71" s="457"/>
      <c r="YM71" s="457"/>
      <c r="YN71" s="457"/>
      <c r="YO71" s="457"/>
      <c r="YP71" s="457"/>
      <c r="YQ71" s="457"/>
      <c r="YR71" s="457"/>
      <c r="YS71" s="457"/>
      <c r="YT71" s="457"/>
      <c r="YU71" s="457"/>
      <c r="YV71" s="457"/>
      <c r="YW71" s="457"/>
      <c r="YX71" s="457"/>
      <c r="YY71" s="457"/>
      <c r="YZ71" s="457"/>
      <c r="ZA71" s="457"/>
      <c r="ZB71" s="457"/>
      <c r="ZC71" s="457"/>
      <c r="ZD71" s="457"/>
      <c r="ZE71" s="457"/>
      <c r="ZF71" s="457"/>
      <c r="ZG71" s="457"/>
      <c r="ZH71" s="457"/>
      <c r="ZI71" s="457"/>
      <c r="ZJ71" s="457"/>
      <c r="ZK71" s="457"/>
      <c r="ZL71" s="457"/>
      <c r="ZM71" s="457"/>
      <c r="ZN71" s="457"/>
      <c r="ZO71" s="457"/>
      <c r="ZP71" s="457"/>
      <c r="ZQ71" s="457"/>
      <c r="ZR71" s="457"/>
      <c r="ZS71" s="457"/>
      <c r="ZT71" s="457"/>
      <c r="ZU71" s="457"/>
      <c r="ZV71" s="457"/>
      <c r="ZW71" s="457"/>
      <c r="ZX71" s="457"/>
      <c r="ZY71" s="457"/>
      <c r="ZZ71" s="457"/>
      <c r="AAA71" s="457"/>
      <c r="AAB71" s="457"/>
      <c r="AAC71" s="457"/>
      <c r="AAD71" s="457"/>
      <c r="AAE71" s="457"/>
      <c r="AAF71" s="457"/>
      <c r="AAG71" s="457"/>
      <c r="AAH71" s="457"/>
      <c r="AAI71" s="457"/>
      <c r="AAJ71" s="457"/>
      <c r="AAK71" s="457"/>
      <c r="AAL71" s="457"/>
      <c r="AAM71" s="457"/>
      <c r="AAN71" s="457"/>
      <c r="AAO71" s="457"/>
      <c r="AAP71" s="457"/>
      <c r="AAQ71" s="457"/>
      <c r="AAR71" s="457"/>
      <c r="AAS71" s="457"/>
      <c r="AAT71" s="457"/>
      <c r="AAU71" s="457"/>
      <c r="AAV71" s="457"/>
      <c r="AAW71" s="457"/>
      <c r="AAX71" s="457"/>
      <c r="AAY71" s="457"/>
      <c r="AAZ71" s="457"/>
      <c r="ABA71" s="457"/>
      <c r="ABB71" s="457"/>
      <c r="ABC71" s="457"/>
      <c r="ABD71" s="457"/>
      <c r="ABE71" s="457"/>
      <c r="ABF71" s="457"/>
      <c r="ABG71" s="457"/>
      <c r="ABH71" s="457"/>
      <c r="ABI71" s="457"/>
      <c r="ABJ71" s="457"/>
      <c r="ABK71" s="457"/>
      <c r="ABL71" s="457"/>
      <c r="ABM71" s="457"/>
      <c r="ABN71" s="457"/>
      <c r="ABO71" s="457"/>
      <c r="ABP71" s="457"/>
      <c r="ABQ71" s="457"/>
      <c r="ABR71" s="457"/>
      <c r="ABS71" s="457"/>
      <c r="ABT71" s="457"/>
      <c r="ABU71" s="457"/>
    </row>
    <row r="72" spans="1:749" s="430" customFormat="1" ht="6.75" customHeight="1" x14ac:dyDescent="0.3">
      <c r="O72" s="458"/>
      <c r="AD72" s="459"/>
    </row>
    <row r="73" spans="1:749" s="310" customFormat="1" ht="20.25" x14ac:dyDescent="0.3">
      <c r="A73" s="457"/>
      <c r="B73" s="457"/>
      <c r="C73" s="756" t="s">
        <v>481</v>
      </c>
      <c r="D73" s="756"/>
      <c r="E73" s="756"/>
      <c r="F73" s="756"/>
      <c r="G73" s="756"/>
      <c r="H73" s="756"/>
      <c r="I73" s="756"/>
      <c r="J73" s="756"/>
      <c r="K73" s="756"/>
      <c r="L73" s="756"/>
      <c r="M73" s="757"/>
      <c r="N73" s="457"/>
      <c r="O73" s="417" t="str">
        <f>IF(ISNUMBER(O69-O71),(O69-O71),"")</f>
        <v/>
      </c>
      <c r="P73" s="430"/>
      <c r="Q73" s="457"/>
      <c r="R73" s="457"/>
      <c r="S73" s="457"/>
      <c r="T73" s="457"/>
      <c r="U73" s="457"/>
      <c r="V73" s="457"/>
      <c r="W73" s="457"/>
      <c r="X73" s="457"/>
      <c r="Y73" s="457"/>
      <c r="Z73" s="457"/>
      <c r="AA73" s="457"/>
      <c r="AB73" s="457"/>
      <c r="AC73" s="457"/>
      <c r="AD73" s="461"/>
      <c r="AE73" s="457"/>
      <c r="AF73" s="457"/>
      <c r="AG73" s="457"/>
      <c r="AH73" s="457"/>
      <c r="AI73" s="457"/>
      <c r="AJ73" s="457"/>
      <c r="AK73" s="457"/>
      <c r="AL73" s="457"/>
      <c r="AM73" s="457"/>
      <c r="AN73" s="457"/>
      <c r="AO73" s="457"/>
      <c r="AP73" s="457"/>
      <c r="AQ73" s="457"/>
      <c r="AR73" s="457"/>
      <c r="AS73" s="457"/>
      <c r="AT73" s="457"/>
      <c r="AU73" s="457"/>
      <c r="AV73" s="457"/>
      <c r="AW73" s="457"/>
      <c r="AX73" s="457"/>
      <c r="AY73" s="457"/>
      <c r="AZ73" s="457"/>
      <c r="BA73" s="457"/>
      <c r="BB73" s="457"/>
      <c r="BC73" s="457"/>
      <c r="BD73" s="457"/>
      <c r="BE73" s="457"/>
      <c r="BF73" s="457"/>
      <c r="BG73" s="457"/>
      <c r="BH73" s="457"/>
      <c r="BI73" s="457"/>
      <c r="BJ73" s="457"/>
      <c r="BK73" s="457"/>
      <c r="BL73" s="457"/>
      <c r="BM73" s="457"/>
      <c r="BN73" s="457"/>
      <c r="BO73" s="457"/>
      <c r="BP73" s="457"/>
      <c r="BQ73" s="457"/>
      <c r="BR73" s="457"/>
      <c r="BS73" s="457"/>
      <c r="BT73" s="457"/>
      <c r="BU73" s="457"/>
      <c r="BV73" s="457"/>
      <c r="BW73" s="457"/>
      <c r="BX73" s="457"/>
      <c r="BY73" s="457"/>
      <c r="BZ73" s="457"/>
      <c r="CA73" s="457"/>
      <c r="CB73" s="457"/>
      <c r="CC73" s="457"/>
      <c r="CD73" s="457"/>
      <c r="CE73" s="457"/>
      <c r="CF73" s="457"/>
      <c r="CG73" s="457"/>
      <c r="CH73" s="457"/>
      <c r="CI73" s="457"/>
      <c r="CJ73" s="457"/>
      <c r="CK73" s="457"/>
      <c r="CL73" s="457"/>
      <c r="CM73" s="457"/>
      <c r="CN73" s="457"/>
      <c r="CO73" s="457"/>
      <c r="CP73" s="457"/>
      <c r="CQ73" s="457"/>
      <c r="CR73" s="457"/>
      <c r="CS73" s="457"/>
      <c r="CT73" s="457"/>
      <c r="CU73" s="457"/>
      <c r="CV73" s="457"/>
      <c r="CW73" s="457"/>
      <c r="CX73" s="457"/>
      <c r="CY73" s="457"/>
      <c r="CZ73" s="457"/>
      <c r="DA73" s="457"/>
      <c r="DB73" s="457"/>
      <c r="DC73" s="457"/>
      <c r="DD73" s="457"/>
      <c r="DE73" s="457"/>
      <c r="DF73" s="457"/>
      <c r="DG73" s="457"/>
      <c r="DH73" s="457"/>
      <c r="DI73" s="457"/>
      <c r="DJ73" s="457"/>
      <c r="DK73" s="457"/>
      <c r="DL73" s="457"/>
      <c r="DM73" s="457"/>
      <c r="DN73" s="457"/>
      <c r="DO73" s="457"/>
      <c r="DP73" s="457"/>
      <c r="DQ73" s="457"/>
      <c r="DR73" s="457"/>
      <c r="DS73" s="457"/>
      <c r="DT73" s="457"/>
      <c r="DU73" s="457"/>
      <c r="DV73" s="457"/>
      <c r="DW73" s="457"/>
      <c r="DX73" s="457"/>
      <c r="DY73" s="457"/>
      <c r="DZ73" s="457"/>
      <c r="EA73" s="457"/>
      <c r="EB73" s="457"/>
      <c r="EC73" s="457"/>
      <c r="ED73" s="457"/>
      <c r="EE73" s="457"/>
      <c r="EF73" s="457"/>
      <c r="EG73" s="457"/>
      <c r="EH73" s="457"/>
      <c r="EI73" s="457"/>
      <c r="EJ73" s="457"/>
      <c r="EK73" s="457"/>
      <c r="EL73" s="457"/>
      <c r="EM73" s="457"/>
      <c r="EN73" s="457"/>
      <c r="EO73" s="457"/>
      <c r="EP73" s="457"/>
      <c r="EQ73" s="457"/>
      <c r="ER73" s="457"/>
      <c r="ES73" s="457"/>
      <c r="ET73" s="457"/>
      <c r="EU73" s="457"/>
      <c r="EV73" s="457"/>
      <c r="EW73" s="457"/>
      <c r="EX73" s="457"/>
      <c r="EY73" s="457"/>
      <c r="EZ73" s="457"/>
      <c r="FA73" s="457"/>
      <c r="FB73" s="457"/>
      <c r="FC73" s="457"/>
      <c r="FD73" s="457"/>
      <c r="FE73" s="457"/>
      <c r="FF73" s="457"/>
      <c r="FG73" s="457"/>
      <c r="FH73" s="457"/>
      <c r="FI73" s="457"/>
      <c r="FJ73" s="457"/>
      <c r="FK73" s="457"/>
      <c r="FL73" s="457"/>
      <c r="FM73" s="457"/>
      <c r="FN73" s="457"/>
      <c r="FO73" s="457"/>
      <c r="FP73" s="457"/>
      <c r="FQ73" s="457"/>
      <c r="FR73" s="457"/>
      <c r="FS73" s="457"/>
      <c r="FT73" s="457"/>
      <c r="FU73" s="457"/>
      <c r="FV73" s="457"/>
      <c r="FW73" s="457"/>
      <c r="FX73" s="457"/>
      <c r="FY73" s="457"/>
      <c r="FZ73" s="457"/>
      <c r="GA73" s="457"/>
      <c r="GB73" s="457"/>
      <c r="GC73" s="457"/>
      <c r="GD73" s="457"/>
      <c r="GE73" s="457"/>
      <c r="GF73" s="457"/>
      <c r="GG73" s="457"/>
      <c r="GH73" s="457"/>
      <c r="GI73" s="457"/>
      <c r="GJ73" s="457"/>
      <c r="GK73" s="457"/>
      <c r="GL73" s="457"/>
      <c r="GM73" s="457"/>
      <c r="GN73" s="457"/>
      <c r="GO73" s="457"/>
      <c r="GP73" s="457"/>
      <c r="GQ73" s="457"/>
      <c r="GR73" s="457"/>
      <c r="GS73" s="457"/>
      <c r="GT73" s="457"/>
      <c r="GU73" s="457"/>
      <c r="GV73" s="457"/>
      <c r="GW73" s="457"/>
      <c r="GX73" s="457"/>
      <c r="GY73" s="457"/>
      <c r="GZ73" s="457"/>
      <c r="HA73" s="457"/>
      <c r="HB73" s="457"/>
      <c r="HC73" s="457"/>
      <c r="HD73" s="457"/>
      <c r="HE73" s="457"/>
      <c r="HF73" s="457"/>
      <c r="HG73" s="457"/>
      <c r="HH73" s="457"/>
      <c r="HI73" s="457"/>
      <c r="HJ73" s="457"/>
      <c r="HK73" s="457"/>
      <c r="HL73" s="457"/>
      <c r="HM73" s="457"/>
      <c r="HN73" s="457"/>
      <c r="HO73" s="457"/>
      <c r="HP73" s="457"/>
      <c r="HQ73" s="457"/>
      <c r="HR73" s="457"/>
      <c r="HS73" s="457"/>
      <c r="HT73" s="457"/>
      <c r="HU73" s="457"/>
      <c r="HV73" s="457"/>
      <c r="HW73" s="457"/>
      <c r="HX73" s="457"/>
      <c r="HY73" s="457"/>
      <c r="HZ73" s="457"/>
      <c r="IA73" s="457"/>
      <c r="IB73" s="457"/>
      <c r="IC73" s="457"/>
      <c r="ID73" s="457"/>
      <c r="IE73" s="457"/>
      <c r="IF73" s="457"/>
      <c r="IG73" s="457"/>
      <c r="IH73" s="457"/>
      <c r="II73" s="457"/>
      <c r="IJ73" s="457"/>
      <c r="IK73" s="457"/>
      <c r="IL73" s="457"/>
      <c r="IM73" s="457"/>
      <c r="IN73" s="457"/>
      <c r="IO73" s="457"/>
      <c r="IP73" s="457"/>
      <c r="IQ73" s="457"/>
      <c r="IR73" s="457"/>
      <c r="IS73" s="457"/>
      <c r="IT73" s="457"/>
      <c r="IU73" s="457"/>
      <c r="IV73" s="457"/>
      <c r="IW73" s="457"/>
      <c r="IX73" s="457"/>
      <c r="IY73" s="457"/>
      <c r="IZ73" s="457"/>
      <c r="JA73" s="457"/>
      <c r="JB73" s="457"/>
      <c r="JC73" s="457"/>
      <c r="JD73" s="457"/>
      <c r="JE73" s="457"/>
      <c r="JF73" s="457"/>
      <c r="JG73" s="457"/>
      <c r="JH73" s="457"/>
      <c r="JI73" s="457"/>
      <c r="JJ73" s="457"/>
      <c r="JK73" s="457"/>
      <c r="JL73" s="457"/>
      <c r="JM73" s="457"/>
      <c r="JN73" s="457"/>
      <c r="JO73" s="457"/>
      <c r="JP73" s="457"/>
      <c r="JQ73" s="457"/>
      <c r="JR73" s="457"/>
      <c r="JS73" s="457"/>
      <c r="JT73" s="457"/>
      <c r="JU73" s="457"/>
      <c r="JV73" s="457"/>
      <c r="JW73" s="457"/>
      <c r="JX73" s="457"/>
      <c r="JY73" s="457"/>
      <c r="JZ73" s="457"/>
      <c r="KA73" s="457"/>
      <c r="KB73" s="457"/>
      <c r="KC73" s="457"/>
      <c r="KD73" s="457"/>
      <c r="KE73" s="457"/>
      <c r="KF73" s="457"/>
      <c r="KG73" s="457"/>
      <c r="KH73" s="457"/>
      <c r="KI73" s="457"/>
      <c r="KJ73" s="457"/>
      <c r="KK73" s="457"/>
      <c r="KL73" s="457"/>
      <c r="KM73" s="457"/>
      <c r="KN73" s="457"/>
      <c r="KO73" s="457"/>
      <c r="KP73" s="457"/>
      <c r="KQ73" s="457"/>
      <c r="KR73" s="457"/>
      <c r="KS73" s="457"/>
      <c r="KT73" s="457"/>
      <c r="KU73" s="457"/>
      <c r="KV73" s="457"/>
      <c r="KW73" s="457"/>
      <c r="KX73" s="457"/>
      <c r="KY73" s="457"/>
      <c r="KZ73" s="457"/>
      <c r="LA73" s="457"/>
      <c r="LB73" s="457"/>
      <c r="LC73" s="457"/>
      <c r="LD73" s="457"/>
      <c r="LE73" s="457"/>
      <c r="LF73" s="457"/>
      <c r="LG73" s="457"/>
      <c r="LH73" s="457"/>
      <c r="LI73" s="457"/>
      <c r="LJ73" s="457"/>
      <c r="LK73" s="457"/>
      <c r="LL73" s="457"/>
      <c r="LM73" s="457"/>
      <c r="LN73" s="457"/>
      <c r="LO73" s="457"/>
      <c r="LP73" s="457"/>
      <c r="LQ73" s="457"/>
      <c r="LR73" s="457"/>
      <c r="LS73" s="457"/>
      <c r="LT73" s="457"/>
      <c r="LU73" s="457"/>
      <c r="LV73" s="457"/>
      <c r="LW73" s="457"/>
      <c r="LX73" s="457"/>
      <c r="LY73" s="457"/>
      <c r="LZ73" s="457"/>
      <c r="MA73" s="457"/>
      <c r="MB73" s="457"/>
      <c r="MC73" s="457"/>
      <c r="MD73" s="457"/>
      <c r="ME73" s="457"/>
      <c r="MF73" s="457"/>
      <c r="MG73" s="457"/>
      <c r="MH73" s="457"/>
      <c r="MI73" s="457"/>
      <c r="MJ73" s="457"/>
      <c r="MK73" s="457"/>
      <c r="ML73" s="457"/>
      <c r="MM73" s="457"/>
      <c r="MN73" s="457"/>
      <c r="MO73" s="457"/>
      <c r="MP73" s="457"/>
      <c r="MQ73" s="457"/>
      <c r="MR73" s="457"/>
      <c r="MS73" s="457"/>
      <c r="MT73" s="457"/>
      <c r="MU73" s="457"/>
      <c r="MV73" s="457"/>
      <c r="MW73" s="457"/>
      <c r="MX73" s="457"/>
      <c r="MY73" s="457"/>
      <c r="MZ73" s="457"/>
      <c r="NA73" s="457"/>
      <c r="NB73" s="457"/>
      <c r="NC73" s="457"/>
      <c r="ND73" s="457"/>
      <c r="NE73" s="457"/>
      <c r="NF73" s="457"/>
      <c r="NG73" s="457"/>
      <c r="NH73" s="457"/>
      <c r="NI73" s="457"/>
      <c r="NJ73" s="457"/>
      <c r="NK73" s="457"/>
      <c r="NL73" s="457"/>
      <c r="NM73" s="457"/>
      <c r="NN73" s="457"/>
      <c r="NO73" s="457"/>
      <c r="NP73" s="457"/>
      <c r="NQ73" s="457"/>
      <c r="NR73" s="457"/>
      <c r="NS73" s="457"/>
      <c r="NT73" s="457"/>
      <c r="NU73" s="457"/>
      <c r="NV73" s="457"/>
      <c r="NW73" s="457"/>
      <c r="NX73" s="457"/>
      <c r="NY73" s="457"/>
      <c r="NZ73" s="457"/>
      <c r="OA73" s="457"/>
      <c r="OB73" s="457"/>
      <c r="OC73" s="457"/>
      <c r="OD73" s="457"/>
      <c r="OE73" s="457"/>
      <c r="OF73" s="457"/>
      <c r="OG73" s="457"/>
      <c r="OH73" s="457"/>
      <c r="OI73" s="457"/>
      <c r="OJ73" s="457"/>
      <c r="OK73" s="457"/>
      <c r="OL73" s="457"/>
      <c r="OM73" s="457"/>
      <c r="ON73" s="457"/>
      <c r="OO73" s="457"/>
      <c r="OP73" s="457"/>
      <c r="OQ73" s="457"/>
      <c r="OR73" s="457"/>
      <c r="OS73" s="457"/>
      <c r="OT73" s="457"/>
      <c r="OU73" s="457"/>
      <c r="OV73" s="457"/>
      <c r="OW73" s="457"/>
      <c r="OX73" s="457"/>
      <c r="OY73" s="457"/>
      <c r="OZ73" s="457"/>
      <c r="PA73" s="457"/>
      <c r="PB73" s="457"/>
      <c r="PC73" s="457"/>
      <c r="PD73" s="457"/>
      <c r="PE73" s="457"/>
      <c r="PF73" s="457"/>
      <c r="PG73" s="457"/>
      <c r="PH73" s="457"/>
      <c r="PI73" s="457"/>
      <c r="PJ73" s="457"/>
      <c r="PK73" s="457"/>
      <c r="PL73" s="457"/>
      <c r="PM73" s="457"/>
      <c r="PN73" s="457"/>
      <c r="PO73" s="457"/>
      <c r="PP73" s="457"/>
      <c r="PQ73" s="457"/>
      <c r="PR73" s="457"/>
      <c r="PS73" s="457"/>
      <c r="PT73" s="457"/>
      <c r="PU73" s="457"/>
      <c r="PV73" s="457"/>
      <c r="PW73" s="457"/>
      <c r="PX73" s="457"/>
      <c r="PY73" s="457"/>
      <c r="PZ73" s="457"/>
      <c r="QA73" s="457"/>
      <c r="QB73" s="457"/>
      <c r="QC73" s="457"/>
      <c r="QD73" s="457"/>
      <c r="QE73" s="457"/>
      <c r="QF73" s="457"/>
      <c r="QG73" s="457"/>
      <c r="QH73" s="457"/>
      <c r="QI73" s="457"/>
      <c r="QJ73" s="457"/>
      <c r="QK73" s="457"/>
      <c r="QL73" s="457"/>
      <c r="QM73" s="457"/>
      <c r="QN73" s="457"/>
      <c r="QO73" s="457"/>
      <c r="QP73" s="457"/>
      <c r="QQ73" s="457"/>
      <c r="QR73" s="457"/>
      <c r="QS73" s="457"/>
      <c r="QT73" s="457"/>
      <c r="QU73" s="457"/>
      <c r="QV73" s="457"/>
      <c r="QW73" s="457"/>
      <c r="QX73" s="457"/>
      <c r="QY73" s="457"/>
      <c r="QZ73" s="457"/>
      <c r="RA73" s="457"/>
      <c r="RB73" s="457"/>
      <c r="RC73" s="457"/>
      <c r="RD73" s="457"/>
      <c r="RE73" s="457"/>
      <c r="RF73" s="457"/>
      <c r="RG73" s="457"/>
      <c r="RH73" s="457"/>
      <c r="RI73" s="457"/>
      <c r="RJ73" s="457"/>
      <c r="RK73" s="457"/>
      <c r="RL73" s="457"/>
      <c r="RM73" s="457"/>
      <c r="RN73" s="457"/>
      <c r="RO73" s="457"/>
      <c r="RP73" s="457"/>
      <c r="RQ73" s="457"/>
      <c r="RR73" s="457"/>
      <c r="RS73" s="457"/>
      <c r="RT73" s="457"/>
      <c r="RU73" s="457"/>
      <c r="RV73" s="457"/>
      <c r="RW73" s="457"/>
      <c r="RX73" s="457"/>
      <c r="RY73" s="457"/>
      <c r="RZ73" s="457"/>
      <c r="SA73" s="457"/>
      <c r="SB73" s="457"/>
      <c r="SC73" s="457"/>
      <c r="SD73" s="457"/>
      <c r="SE73" s="457"/>
      <c r="SF73" s="457"/>
      <c r="SG73" s="457"/>
      <c r="SH73" s="457"/>
      <c r="SI73" s="457"/>
      <c r="SJ73" s="457"/>
      <c r="SK73" s="457"/>
      <c r="SL73" s="457"/>
      <c r="SM73" s="457"/>
      <c r="SN73" s="457"/>
      <c r="SO73" s="457"/>
      <c r="SP73" s="457"/>
      <c r="SQ73" s="457"/>
      <c r="SR73" s="457"/>
      <c r="SS73" s="457"/>
      <c r="ST73" s="457"/>
      <c r="SU73" s="457"/>
      <c r="SV73" s="457"/>
      <c r="SW73" s="457"/>
      <c r="SX73" s="457"/>
      <c r="SY73" s="457"/>
      <c r="SZ73" s="457"/>
      <c r="TA73" s="457"/>
      <c r="TB73" s="457"/>
      <c r="TC73" s="457"/>
      <c r="TD73" s="457"/>
      <c r="TE73" s="457"/>
      <c r="TF73" s="457"/>
      <c r="TG73" s="457"/>
      <c r="TH73" s="457"/>
      <c r="TI73" s="457"/>
      <c r="TJ73" s="457"/>
      <c r="TK73" s="457"/>
      <c r="TL73" s="457"/>
      <c r="TM73" s="457"/>
      <c r="TN73" s="457"/>
      <c r="TO73" s="457"/>
      <c r="TP73" s="457"/>
      <c r="TQ73" s="457"/>
      <c r="TR73" s="457"/>
      <c r="TS73" s="457"/>
      <c r="TT73" s="457"/>
      <c r="TU73" s="457"/>
      <c r="TV73" s="457"/>
      <c r="TW73" s="457"/>
      <c r="TX73" s="457"/>
      <c r="TY73" s="457"/>
      <c r="TZ73" s="457"/>
      <c r="UA73" s="457"/>
      <c r="UB73" s="457"/>
      <c r="UC73" s="457"/>
      <c r="UD73" s="457"/>
      <c r="UE73" s="457"/>
      <c r="UF73" s="457"/>
      <c r="UG73" s="457"/>
      <c r="UH73" s="457"/>
      <c r="UI73" s="457"/>
      <c r="UJ73" s="457"/>
      <c r="UK73" s="457"/>
      <c r="UL73" s="457"/>
      <c r="UM73" s="457"/>
      <c r="UN73" s="457"/>
      <c r="UO73" s="457"/>
      <c r="UP73" s="457"/>
      <c r="UQ73" s="457"/>
      <c r="UR73" s="457"/>
      <c r="US73" s="457"/>
      <c r="UT73" s="457"/>
      <c r="UU73" s="457"/>
      <c r="UV73" s="457"/>
      <c r="UW73" s="457"/>
      <c r="UX73" s="457"/>
      <c r="UY73" s="457"/>
      <c r="UZ73" s="457"/>
      <c r="VA73" s="457"/>
      <c r="VB73" s="457"/>
      <c r="VC73" s="457"/>
      <c r="VD73" s="457"/>
      <c r="VE73" s="457"/>
      <c r="VF73" s="457"/>
      <c r="VG73" s="457"/>
      <c r="VH73" s="457"/>
      <c r="VI73" s="457"/>
      <c r="VJ73" s="457"/>
      <c r="VK73" s="457"/>
      <c r="VL73" s="457"/>
      <c r="VM73" s="457"/>
      <c r="VN73" s="457"/>
      <c r="VO73" s="457"/>
      <c r="VP73" s="457"/>
      <c r="VQ73" s="457"/>
      <c r="VR73" s="457"/>
      <c r="VS73" s="457"/>
      <c r="VT73" s="457"/>
      <c r="VU73" s="457"/>
      <c r="VV73" s="457"/>
      <c r="VW73" s="457"/>
      <c r="VX73" s="457"/>
      <c r="VY73" s="457"/>
      <c r="VZ73" s="457"/>
      <c r="WA73" s="457"/>
      <c r="WB73" s="457"/>
      <c r="WC73" s="457"/>
      <c r="WD73" s="457"/>
      <c r="WE73" s="457"/>
      <c r="WF73" s="457"/>
      <c r="WG73" s="457"/>
      <c r="WH73" s="457"/>
      <c r="WI73" s="457"/>
      <c r="WJ73" s="457"/>
      <c r="WK73" s="457"/>
      <c r="WL73" s="457"/>
      <c r="WM73" s="457"/>
      <c r="WN73" s="457"/>
      <c r="WO73" s="457"/>
      <c r="WP73" s="457"/>
      <c r="WQ73" s="457"/>
      <c r="WR73" s="457"/>
      <c r="WS73" s="457"/>
      <c r="WT73" s="457"/>
      <c r="WU73" s="457"/>
      <c r="WV73" s="457"/>
      <c r="WW73" s="457"/>
      <c r="WX73" s="457"/>
      <c r="WY73" s="457"/>
      <c r="WZ73" s="457"/>
      <c r="XA73" s="457"/>
      <c r="XB73" s="457"/>
      <c r="XC73" s="457"/>
      <c r="XD73" s="457"/>
      <c r="XE73" s="457"/>
      <c r="XF73" s="457"/>
      <c r="XG73" s="457"/>
      <c r="XH73" s="457"/>
      <c r="XI73" s="457"/>
      <c r="XJ73" s="457"/>
      <c r="XK73" s="457"/>
      <c r="XL73" s="457"/>
      <c r="XM73" s="457"/>
      <c r="XN73" s="457"/>
      <c r="XO73" s="457"/>
      <c r="XP73" s="457"/>
      <c r="XQ73" s="457"/>
      <c r="XR73" s="457"/>
      <c r="XS73" s="457"/>
      <c r="XT73" s="457"/>
      <c r="XU73" s="457"/>
      <c r="XV73" s="457"/>
      <c r="XW73" s="457"/>
      <c r="XX73" s="457"/>
      <c r="XY73" s="457"/>
      <c r="XZ73" s="457"/>
      <c r="YA73" s="457"/>
      <c r="YB73" s="457"/>
      <c r="YC73" s="457"/>
      <c r="YD73" s="457"/>
      <c r="YE73" s="457"/>
      <c r="YF73" s="457"/>
      <c r="YG73" s="457"/>
      <c r="YH73" s="457"/>
      <c r="YI73" s="457"/>
      <c r="YJ73" s="457"/>
      <c r="YK73" s="457"/>
      <c r="YL73" s="457"/>
      <c r="YM73" s="457"/>
      <c r="YN73" s="457"/>
      <c r="YO73" s="457"/>
      <c r="YP73" s="457"/>
      <c r="YQ73" s="457"/>
      <c r="YR73" s="457"/>
      <c r="YS73" s="457"/>
      <c r="YT73" s="457"/>
      <c r="YU73" s="457"/>
      <c r="YV73" s="457"/>
      <c r="YW73" s="457"/>
      <c r="YX73" s="457"/>
      <c r="YY73" s="457"/>
      <c r="YZ73" s="457"/>
      <c r="ZA73" s="457"/>
      <c r="ZB73" s="457"/>
      <c r="ZC73" s="457"/>
      <c r="ZD73" s="457"/>
      <c r="ZE73" s="457"/>
      <c r="ZF73" s="457"/>
      <c r="ZG73" s="457"/>
      <c r="ZH73" s="457"/>
      <c r="ZI73" s="457"/>
      <c r="ZJ73" s="457"/>
      <c r="ZK73" s="457"/>
      <c r="ZL73" s="457"/>
      <c r="ZM73" s="457"/>
      <c r="ZN73" s="457"/>
      <c r="ZO73" s="457"/>
      <c r="ZP73" s="457"/>
      <c r="ZQ73" s="457"/>
      <c r="ZR73" s="457"/>
      <c r="ZS73" s="457"/>
      <c r="ZT73" s="457"/>
      <c r="ZU73" s="457"/>
      <c r="ZV73" s="457"/>
      <c r="ZW73" s="457"/>
      <c r="ZX73" s="457"/>
      <c r="ZY73" s="457"/>
      <c r="ZZ73" s="457"/>
      <c r="AAA73" s="457"/>
      <c r="AAB73" s="457"/>
      <c r="AAC73" s="457"/>
      <c r="AAD73" s="457"/>
      <c r="AAE73" s="457"/>
      <c r="AAF73" s="457"/>
      <c r="AAG73" s="457"/>
      <c r="AAH73" s="457"/>
      <c r="AAI73" s="457"/>
      <c r="AAJ73" s="457"/>
      <c r="AAK73" s="457"/>
      <c r="AAL73" s="457"/>
      <c r="AAM73" s="457"/>
      <c r="AAN73" s="457"/>
      <c r="AAO73" s="457"/>
      <c r="AAP73" s="457"/>
      <c r="AAQ73" s="457"/>
      <c r="AAR73" s="457"/>
      <c r="AAS73" s="457"/>
      <c r="AAT73" s="457"/>
      <c r="AAU73" s="457"/>
      <c r="AAV73" s="457"/>
      <c r="AAW73" s="457"/>
      <c r="AAX73" s="457"/>
      <c r="AAY73" s="457"/>
      <c r="AAZ73" s="457"/>
      <c r="ABA73" s="457"/>
      <c r="ABB73" s="457"/>
      <c r="ABC73" s="457"/>
      <c r="ABD73" s="457"/>
      <c r="ABE73" s="457"/>
      <c r="ABF73" s="457"/>
      <c r="ABG73" s="457"/>
      <c r="ABH73" s="457"/>
      <c r="ABI73" s="457"/>
      <c r="ABJ73" s="457"/>
      <c r="ABK73" s="457"/>
      <c r="ABL73" s="457"/>
      <c r="ABM73" s="457"/>
      <c r="ABN73" s="457"/>
      <c r="ABO73" s="457"/>
      <c r="ABP73" s="457"/>
      <c r="ABQ73" s="457"/>
      <c r="ABR73" s="457"/>
      <c r="ABS73" s="457"/>
      <c r="ABT73" s="457"/>
      <c r="ABU73" s="457"/>
    </row>
    <row r="74" spans="1:749" s="457" customFormat="1" x14ac:dyDescent="0.3">
      <c r="C74" s="430"/>
      <c r="D74" s="430"/>
      <c r="E74" s="430"/>
      <c r="F74" s="430"/>
      <c r="G74" s="430"/>
      <c r="H74" s="430"/>
      <c r="I74" s="430"/>
      <c r="J74" s="430"/>
      <c r="K74" s="430"/>
      <c r="L74" s="430"/>
      <c r="M74" s="430"/>
      <c r="N74" s="430"/>
      <c r="O74" s="430"/>
      <c r="P74" s="430"/>
      <c r="AD74" s="461"/>
    </row>
    <row r="75" spans="1:749" s="430" customFormat="1" ht="24.75" customHeight="1" x14ac:dyDescent="0.3">
      <c r="Q75" s="456"/>
      <c r="R75" s="456"/>
      <c r="S75" s="456"/>
      <c r="T75" s="456"/>
      <c r="U75" s="456"/>
      <c r="AD75" s="459"/>
    </row>
    <row r="76" spans="1:749" s="430" customFormat="1" ht="24.75" customHeight="1" x14ac:dyDescent="0.3">
      <c r="B76" s="459"/>
      <c r="C76" s="459"/>
      <c r="D76" s="459"/>
      <c r="E76" s="459"/>
      <c r="F76" s="459"/>
      <c r="G76" s="459"/>
      <c r="H76" s="459"/>
      <c r="I76" s="459"/>
      <c r="J76" s="459"/>
      <c r="K76" s="459"/>
      <c r="L76" s="459"/>
      <c r="M76" s="459"/>
      <c r="N76" s="459"/>
      <c r="O76" s="459"/>
      <c r="P76" s="459"/>
      <c r="Q76" s="460"/>
      <c r="R76" s="460"/>
      <c r="S76" s="460"/>
      <c r="T76" s="460"/>
      <c r="U76" s="460"/>
      <c r="V76" s="459"/>
      <c r="W76" s="459"/>
      <c r="X76" s="459"/>
      <c r="Y76" s="459"/>
      <c r="Z76" s="459"/>
      <c r="AA76" s="459"/>
      <c r="AB76" s="459"/>
      <c r="AC76" s="459"/>
      <c r="AD76" s="459"/>
    </row>
    <row r="77" spans="1:749" s="430" customFormat="1" ht="36.75" customHeight="1" x14ac:dyDescent="0.3">
      <c r="B77" s="769" t="s">
        <v>614</v>
      </c>
      <c r="C77" s="769"/>
      <c r="D77" s="769"/>
      <c r="E77" s="769"/>
      <c r="F77" s="769"/>
      <c r="G77" s="769"/>
      <c r="H77" s="769"/>
      <c r="I77" s="769"/>
      <c r="J77" s="769"/>
      <c r="K77" s="769"/>
      <c r="L77" s="769"/>
      <c r="M77" s="769"/>
      <c r="N77" s="769"/>
      <c r="O77" s="769"/>
      <c r="P77" s="769"/>
      <c r="Q77" s="769"/>
      <c r="R77" s="769"/>
      <c r="S77" s="769"/>
      <c r="T77" s="769"/>
      <c r="U77" s="769"/>
      <c r="V77" s="769"/>
      <c r="W77" s="769"/>
      <c r="X77" s="769"/>
      <c r="Y77" s="769"/>
      <c r="Z77" s="769"/>
      <c r="AA77" s="769"/>
      <c r="AB77" s="769"/>
      <c r="AC77" s="769"/>
    </row>
    <row r="78" spans="1:749" s="430" customFormat="1" ht="8.25" customHeight="1" x14ac:dyDescent="0.3">
      <c r="B78" s="459"/>
      <c r="C78" s="459"/>
      <c r="D78" s="459"/>
      <c r="E78" s="459"/>
      <c r="F78" s="459"/>
      <c r="G78" s="459"/>
      <c r="H78" s="459"/>
      <c r="I78" s="459"/>
      <c r="J78" s="459"/>
      <c r="K78" s="459"/>
      <c r="L78" s="459"/>
      <c r="M78" s="459"/>
      <c r="N78" s="459"/>
      <c r="O78" s="459"/>
      <c r="P78" s="459"/>
      <c r="Q78" s="459"/>
      <c r="R78" s="459"/>
      <c r="S78" s="459"/>
      <c r="T78" s="459"/>
      <c r="U78" s="459"/>
      <c r="V78" s="459"/>
      <c r="W78" s="459"/>
      <c r="X78" s="459"/>
      <c r="Y78" s="459"/>
      <c r="Z78" s="459"/>
      <c r="AA78" s="459"/>
      <c r="AB78" s="459"/>
      <c r="AC78" s="459"/>
    </row>
    <row r="79" spans="1:749" s="430" customFormat="1" ht="25.5" customHeight="1" x14ac:dyDescent="0.3">
      <c r="B79" s="461" t="s">
        <v>485</v>
      </c>
      <c r="C79" s="459"/>
      <c r="D79" s="459"/>
      <c r="E79" s="459"/>
      <c r="F79" s="459"/>
      <c r="G79" s="459"/>
      <c r="H79" s="459"/>
      <c r="I79" s="459"/>
      <c r="J79" s="459"/>
      <c r="K79" s="459"/>
      <c r="L79" s="459"/>
      <c r="M79" s="459"/>
      <c r="N79" s="459"/>
      <c r="O79" s="459"/>
      <c r="P79" s="459"/>
      <c r="Q79" s="459"/>
      <c r="R79" s="459"/>
      <c r="S79" s="459"/>
      <c r="T79" s="459"/>
      <c r="U79" s="459"/>
      <c r="V79" s="459"/>
      <c r="W79" s="459"/>
      <c r="X79" s="459"/>
      <c r="Y79" s="459"/>
      <c r="Z79" s="459"/>
      <c r="AA79" s="459"/>
      <c r="AB79" s="459"/>
      <c r="AC79" s="459"/>
    </row>
    <row r="80" spans="1:749" s="430" customFormat="1" x14ac:dyDescent="0.3">
      <c r="B80" s="459"/>
      <c r="C80" s="459"/>
      <c r="D80" s="459"/>
      <c r="E80" s="459"/>
      <c r="F80" s="459"/>
      <c r="G80" s="459"/>
      <c r="H80" s="459"/>
      <c r="I80" s="459"/>
      <c r="J80" s="459"/>
      <c r="K80" s="459"/>
      <c r="L80" s="459"/>
      <c r="M80" s="459"/>
      <c r="N80" s="459"/>
      <c r="O80" s="462" t="str">
        <f>E51</f>
        <v/>
      </c>
      <c r="P80" s="459"/>
      <c r="Q80" s="462" t="str">
        <f>E52</f>
        <v/>
      </c>
      <c r="R80" s="462"/>
      <c r="S80" s="462" t="str">
        <f>E53</f>
        <v/>
      </c>
      <c r="T80" s="462"/>
      <c r="U80" s="462" t="str">
        <f>E54</f>
        <v/>
      </c>
      <c r="V80" s="459"/>
      <c r="W80" s="459"/>
      <c r="X80" s="459"/>
      <c r="Y80" s="459"/>
      <c r="Z80" s="459"/>
      <c r="AA80" s="459"/>
      <c r="AB80" s="459"/>
      <c r="AC80" s="459"/>
    </row>
    <row r="81" spans="2:29" s="430" customFormat="1" ht="3.75" customHeight="1" x14ac:dyDescent="0.3">
      <c r="B81" s="459"/>
      <c r="C81" s="459"/>
      <c r="D81" s="459"/>
      <c r="E81" s="459"/>
      <c r="F81" s="459"/>
      <c r="G81" s="459"/>
      <c r="H81" s="459"/>
      <c r="I81" s="459"/>
      <c r="J81" s="459"/>
      <c r="K81" s="459"/>
      <c r="L81" s="459"/>
      <c r="M81" s="459"/>
      <c r="N81" s="459"/>
      <c r="O81" s="459"/>
      <c r="P81" s="459"/>
      <c r="Q81" s="459"/>
      <c r="R81" s="459"/>
      <c r="S81" s="459"/>
      <c r="T81" s="459"/>
      <c r="U81" s="459"/>
      <c r="V81" s="459"/>
      <c r="W81" s="459"/>
      <c r="X81" s="459"/>
      <c r="Y81" s="459"/>
      <c r="Z81" s="459"/>
      <c r="AA81" s="459"/>
      <c r="AB81" s="459"/>
      <c r="AC81" s="459"/>
    </row>
    <row r="82" spans="2:29" s="457" customFormat="1" ht="27.75" customHeight="1" x14ac:dyDescent="0.25">
      <c r="B82" s="461"/>
      <c r="C82" s="463" t="str">
        <f>C67</f>
        <v>A</v>
      </c>
      <c r="D82" s="464"/>
      <c r="E82" s="752" t="str">
        <f>E67</f>
        <v xml:space="preserve">Absorciones previstas al final del periodo de permanencia </v>
      </c>
      <c r="F82" s="752"/>
      <c r="G82" s="752"/>
      <c r="H82" s="752"/>
      <c r="I82" s="752"/>
      <c r="J82" s="752"/>
      <c r="K82" s="752"/>
      <c r="L82" s="752"/>
      <c r="M82" s="752"/>
      <c r="N82" s="461"/>
      <c r="O82" s="465" t="str">
        <f>I51</f>
        <v/>
      </c>
      <c r="P82" s="461"/>
      <c r="Q82" s="466" t="str">
        <f>I52</f>
        <v/>
      </c>
      <c r="R82" s="466"/>
      <c r="S82" s="465" t="str">
        <f>I53</f>
        <v/>
      </c>
      <c r="T82" s="465"/>
      <c r="U82" s="465" t="str">
        <f>I54</f>
        <v/>
      </c>
      <c r="V82" s="461"/>
      <c r="W82" s="461"/>
      <c r="X82" s="461"/>
      <c r="Y82" s="461"/>
      <c r="Z82" s="461"/>
      <c r="AA82" s="461"/>
      <c r="AB82" s="461"/>
      <c r="AC82" s="461"/>
    </row>
    <row r="83" spans="2:29" s="430" customFormat="1" ht="6" customHeight="1" x14ac:dyDescent="0.3">
      <c r="B83" s="459"/>
      <c r="C83" s="467"/>
      <c r="D83" s="468"/>
      <c r="E83" s="469"/>
      <c r="F83" s="469"/>
      <c r="G83" s="469"/>
      <c r="H83" s="469"/>
      <c r="I83" s="469"/>
      <c r="J83" s="469"/>
      <c r="K83" s="469"/>
      <c r="L83" s="469"/>
      <c r="M83" s="469"/>
      <c r="N83" s="459"/>
      <c r="O83" s="470"/>
      <c r="P83" s="459"/>
      <c r="Q83" s="470"/>
      <c r="R83" s="470"/>
      <c r="S83" s="470"/>
      <c r="T83" s="470"/>
      <c r="U83" s="470"/>
      <c r="V83" s="459"/>
      <c r="W83" s="459"/>
      <c r="X83" s="459"/>
      <c r="Y83" s="459"/>
      <c r="Z83" s="459"/>
      <c r="AA83" s="459"/>
      <c r="AB83" s="459"/>
      <c r="AC83" s="459"/>
    </row>
    <row r="84" spans="2:29" s="457" customFormat="1" ht="27.75" customHeight="1" x14ac:dyDescent="0.25">
      <c r="B84" s="461"/>
      <c r="C84" s="463" t="str">
        <f>C69</f>
        <v>B</v>
      </c>
      <c r="D84" s="464"/>
      <c r="E84" s="752" t="str">
        <f>E69</f>
        <v xml:space="preserve">Absorciones registradas útiles = 20% * A </v>
      </c>
      <c r="F84" s="752"/>
      <c r="G84" s="752"/>
      <c r="H84" s="752"/>
      <c r="I84" s="752"/>
      <c r="J84" s="752"/>
      <c r="K84" s="752"/>
      <c r="L84" s="752"/>
      <c r="M84" s="752"/>
      <c r="N84" s="461"/>
      <c r="O84" s="466" t="str">
        <f>K51</f>
        <v/>
      </c>
      <c r="P84" s="461"/>
      <c r="Q84" s="466" t="str">
        <f>K52</f>
        <v/>
      </c>
      <c r="R84" s="466"/>
      <c r="S84" s="466" t="str">
        <f>K53</f>
        <v/>
      </c>
      <c r="T84" s="466"/>
      <c r="U84" s="466" t="str">
        <f>K54</f>
        <v/>
      </c>
      <c r="V84" s="461"/>
      <c r="W84" s="461"/>
      <c r="X84" s="461"/>
      <c r="Y84" s="461"/>
      <c r="Z84" s="461"/>
      <c r="AA84" s="461"/>
      <c r="AB84" s="461"/>
      <c r="AC84" s="461"/>
    </row>
    <row r="85" spans="2:29" s="430" customFormat="1" ht="6" customHeight="1" x14ac:dyDescent="0.3">
      <c r="B85" s="459"/>
      <c r="C85" s="467"/>
      <c r="D85" s="468"/>
      <c r="E85" s="469"/>
      <c r="F85" s="469"/>
      <c r="G85" s="469"/>
      <c r="H85" s="469"/>
      <c r="I85" s="469"/>
      <c r="J85" s="469"/>
      <c r="K85" s="469"/>
      <c r="L85" s="469"/>
      <c r="M85" s="469"/>
      <c r="N85" s="459"/>
      <c r="O85" s="470"/>
      <c r="P85" s="459"/>
      <c r="Q85" s="470"/>
      <c r="R85" s="470"/>
      <c r="S85" s="470"/>
      <c r="T85" s="470"/>
      <c r="U85" s="470"/>
      <c r="V85" s="459"/>
      <c r="W85" s="459"/>
      <c r="X85" s="459"/>
      <c r="Y85" s="459"/>
      <c r="Z85" s="459"/>
      <c r="AA85" s="459"/>
      <c r="AB85" s="459"/>
      <c r="AC85" s="459"/>
    </row>
    <row r="86" spans="2:29" s="457" customFormat="1" ht="27.75" customHeight="1" x14ac:dyDescent="0.25">
      <c r="B86" s="461"/>
      <c r="C86" s="463" t="str">
        <f>C71</f>
        <v>C</v>
      </c>
      <c r="D86" s="464"/>
      <c r="E86" s="742" t="str">
        <f>E71</f>
        <v>Absorciones cedidas a la BOLSA DE GARANTÍA = cantidad equivalente al 10% de las absorciones disponibles</v>
      </c>
      <c r="F86" s="742"/>
      <c r="G86" s="742"/>
      <c r="H86" s="742"/>
      <c r="I86" s="742"/>
      <c r="J86" s="742"/>
      <c r="K86" s="742"/>
      <c r="L86" s="742" t="str">
        <f>IF(ISNUMBER(L84),ROUND(0.1*L84/1.1,0),"")</f>
        <v/>
      </c>
      <c r="M86" s="742" t="str">
        <f>IF(ISNUMBER(M84),ROUND(0.1*M84/1.1,0),"")</f>
        <v/>
      </c>
      <c r="N86" s="461"/>
      <c r="O86" s="465" t="str">
        <f>IF(ISNUMBER(O84),ROUND(0.1*O84/1.1,0),"")</f>
        <v/>
      </c>
      <c r="P86" s="461"/>
      <c r="Q86" s="465" t="str">
        <f>IF(ISNUMBER(Q84),ROUND(0.1*Q84/1.1,0),"")</f>
        <v/>
      </c>
      <c r="R86" s="465"/>
      <c r="S86" s="465" t="str">
        <f>IF(ISNUMBER(S84),ROUND(0.1*S84/1.1,0),"")</f>
        <v/>
      </c>
      <c r="T86" s="465"/>
      <c r="U86" s="465" t="str">
        <f>IF(ISNUMBER(U84),ROUND(0.1*U84/1.1,0),"")</f>
        <v/>
      </c>
      <c r="V86" s="461"/>
      <c r="W86" s="461"/>
      <c r="X86" s="461"/>
      <c r="Y86" s="461"/>
      <c r="Z86" s="461"/>
      <c r="AA86" s="461"/>
      <c r="AB86" s="461"/>
      <c r="AC86" s="461"/>
    </row>
    <row r="87" spans="2:29" s="430" customFormat="1" ht="5.25" customHeight="1" x14ac:dyDescent="0.3">
      <c r="B87" s="459"/>
      <c r="C87" s="468"/>
      <c r="D87" s="468"/>
      <c r="E87" s="468"/>
      <c r="F87" s="468"/>
      <c r="G87" s="468"/>
      <c r="H87" s="468"/>
      <c r="I87" s="468"/>
      <c r="J87" s="468"/>
      <c r="K87" s="468"/>
      <c r="L87" s="468"/>
      <c r="M87" s="468"/>
      <c r="N87" s="459"/>
      <c r="O87" s="470"/>
      <c r="P87" s="459"/>
      <c r="Q87" s="470"/>
      <c r="R87" s="470"/>
      <c r="S87" s="470"/>
      <c r="T87" s="470"/>
      <c r="U87" s="470"/>
      <c r="V87" s="459"/>
      <c r="W87" s="459"/>
      <c r="X87" s="459"/>
      <c r="Y87" s="459"/>
      <c r="Z87" s="459"/>
      <c r="AA87" s="459"/>
      <c r="AB87" s="459"/>
      <c r="AC87" s="459"/>
    </row>
    <row r="88" spans="2:29" s="430" customFormat="1" ht="18" x14ac:dyDescent="0.35">
      <c r="B88" s="459"/>
      <c r="C88" s="743" t="s">
        <v>615</v>
      </c>
      <c r="D88" s="743"/>
      <c r="E88" s="743"/>
      <c r="F88" s="743"/>
      <c r="G88" s="743"/>
      <c r="H88" s="743"/>
      <c r="I88" s="743"/>
      <c r="J88" s="743"/>
      <c r="K88" s="743"/>
      <c r="L88" s="743"/>
      <c r="M88" s="743"/>
      <c r="N88" s="459"/>
      <c r="O88" s="471" t="str">
        <f>IF(ISNUMBER(O84-O86),(O84-O86),"")</f>
        <v/>
      </c>
      <c r="P88" s="459"/>
      <c r="Q88" s="471" t="str">
        <f>IF(ISNUMBER(Q84-Q86),(Q84-Q86),"")</f>
        <v/>
      </c>
      <c r="R88" s="471"/>
      <c r="S88" s="471" t="str">
        <f>IF(ISNUMBER(S84-S86),(S84-S86),"")</f>
        <v/>
      </c>
      <c r="T88" s="471"/>
      <c r="U88" s="471" t="str">
        <f>IF(ISNUMBER(U84-U86),(U84-U86),"")</f>
        <v/>
      </c>
      <c r="V88" s="459"/>
      <c r="W88" s="459"/>
      <c r="X88" s="459"/>
      <c r="Y88" s="459"/>
      <c r="Z88" s="459"/>
      <c r="AA88" s="459"/>
      <c r="AB88" s="459"/>
      <c r="AC88" s="459"/>
    </row>
    <row r="89" spans="2:29" s="430" customFormat="1" x14ac:dyDescent="0.3">
      <c r="B89" s="459"/>
      <c r="C89" s="460"/>
      <c r="D89" s="460"/>
      <c r="E89" s="460"/>
      <c r="F89" s="460"/>
      <c r="G89" s="460"/>
      <c r="H89" s="460"/>
      <c r="I89" s="460"/>
      <c r="J89" s="460"/>
      <c r="K89" s="460"/>
      <c r="L89" s="460"/>
      <c r="M89" s="460"/>
      <c r="N89" s="459"/>
      <c r="O89" s="459"/>
      <c r="P89" s="459"/>
      <c r="Q89" s="459"/>
      <c r="R89" s="459"/>
      <c r="S89" s="459"/>
      <c r="T89" s="459"/>
      <c r="U89" s="459"/>
      <c r="V89" s="459"/>
      <c r="W89" s="459"/>
      <c r="X89" s="459"/>
      <c r="Y89" s="459"/>
      <c r="Z89" s="459"/>
      <c r="AA89" s="459"/>
      <c r="AB89" s="459"/>
      <c r="AC89" s="459"/>
    </row>
    <row r="90" spans="2:29" s="430" customFormat="1" x14ac:dyDescent="0.3">
      <c r="B90" s="459"/>
      <c r="C90" s="472"/>
      <c r="D90" s="472"/>
      <c r="E90" s="472"/>
      <c r="F90" s="472"/>
      <c r="G90" s="472"/>
      <c r="H90" s="472"/>
      <c r="I90" s="472"/>
      <c r="J90" s="472"/>
      <c r="K90" s="472"/>
      <c r="L90" s="472"/>
      <c r="M90" s="472"/>
      <c r="N90" s="472"/>
      <c r="O90" s="472"/>
      <c r="P90" s="472"/>
      <c r="Q90" s="472"/>
      <c r="R90" s="472"/>
      <c r="S90" s="472"/>
      <c r="T90" s="472"/>
      <c r="U90" s="472"/>
      <c r="V90" s="472"/>
      <c r="W90" s="472"/>
      <c r="X90" s="472"/>
      <c r="Y90" s="472"/>
      <c r="Z90" s="472"/>
      <c r="AA90" s="472"/>
      <c r="AB90" s="472"/>
      <c r="AC90" s="459"/>
    </row>
    <row r="91" spans="2:29" s="430" customFormat="1" x14ac:dyDescent="0.3">
      <c r="B91" s="459"/>
      <c r="C91" s="472"/>
      <c r="D91" s="472"/>
      <c r="E91" s="472"/>
      <c r="F91" s="472"/>
      <c r="G91" s="472"/>
      <c r="H91" s="472"/>
      <c r="I91" s="472"/>
      <c r="J91" s="472"/>
      <c r="K91" s="472"/>
      <c r="L91" s="472"/>
      <c r="M91" s="472"/>
      <c r="N91" s="472"/>
      <c r="O91" s="472"/>
      <c r="P91" s="472"/>
      <c r="Q91" s="472"/>
      <c r="R91" s="472"/>
      <c r="S91" s="472"/>
      <c r="T91" s="472"/>
      <c r="U91" s="472"/>
      <c r="V91" s="472"/>
      <c r="W91" s="472"/>
      <c r="X91" s="472"/>
      <c r="Y91" s="472"/>
      <c r="Z91" s="472"/>
      <c r="AA91" s="472"/>
      <c r="AB91" s="472"/>
      <c r="AC91" s="459"/>
    </row>
    <row r="92" spans="2:29" s="430" customFormat="1" x14ac:dyDescent="0.3">
      <c r="B92" s="459"/>
      <c r="C92" s="459"/>
      <c r="D92" s="459"/>
      <c r="E92" s="459"/>
      <c r="F92" s="459"/>
      <c r="G92" s="459"/>
      <c r="H92" s="459"/>
      <c r="I92" s="459"/>
      <c r="J92" s="459"/>
      <c r="K92" s="459"/>
      <c r="L92" s="459"/>
      <c r="M92" s="459"/>
      <c r="N92" s="459"/>
      <c r="O92" s="459"/>
      <c r="P92" s="459"/>
      <c r="Q92" s="459"/>
      <c r="R92" s="459"/>
      <c r="S92" s="459"/>
      <c r="T92" s="459"/>
      <c r="U92" s="459"/>
      <c r="V92" s="459"/>
      <c r="W92" s="459"/>
      <c r="X92" s="459"/>
      <c r="Y92" s="459"/>
      <c r="Z92" s="459"/>
      <c r="AA92" s="459"/>
      <c r="AB92" s="459"/>
      <c r="AC92" s="459"/>
    </row>
    <row r="93" spans="2:29" s="430" customFormat="1" x14ac:dyDescent="0.3"/>
    <row r="94" spans="2:29" s="430" customFormat="1" x14ac:dyDescent="0.3"/>
    <row r="95" spans="2:29" s="430" customFormat="1" x14ac:dyDescent="0.3"/>
    <row r="96" spans="2:29" s="430" customFormat="1" x14ac:dyDescent="0.3"/>
    <row r="97" s="430" customFormat="1" x14ac:dyDescent="0.3"/>
    <row r="98" s="430" customFormat="1" x14ac:dyDescent="0.3"/>
    <row r="99" s="430" customFormat="1" x14ac:dyDescent="0.3"/>
    <row r="100" s="430" customFormat="1" x14ac:dyDescent="0.3"/>
    <row r="101" s="430" customFormat="1" x14ac:dyDescent="0.3"/>
    <row r="102" s="430" customFormat="1" x14ac:dyDescent="0.3"/>
    <row r="103" s="430" customFormat="1" x14ac:dyDescent="0.3"/>
    <row r="104" s="430" customFormat="1" x14ac:dyDescent="0.3"/>
    <row r="105" s="430" customFormat="1" x14ac:dyDescent="0.3"/>
    <row r="106" s="430" customFormat="1" x14ac:dyDescent="0.3"/>
    <row r="107" s="430" customFormat="1" x14ac:dyDescent="0.3"/>
    <row r="108" s="430" customFormat="1" x14ac:dyDescent="0.3"/>
    <row r="109" s="430" customFormat="1" x14ac:dyDescent="0.3"/>
    <row r="110" s="430" customFormat="1" x14ac:dyDescent="0.3"/>
    <row r="111" s="430" customFormat="1" x14ac:dyDescent="0.3"/>
    <row r="112" s="430" customFormat="1" x14ac:dyDescent="0.3"/>
    <row r="113" s="430" customFormat="1" x14ac:dyDescent="0.3"/>
    <row r="114" s="430" customFormat="1" x14ac:dyDescent="0.3"/>
    <row r="115" s="430" customFormat="1" x14ac:dyDescent="0.3"/>
    <row r="116" s="430" customFormat="1" x14ac:dyDescent="0.3"/>
    <row r="117" s="430" customFormat="1" x14ac:dyDescent="0.3"/>
    <row r="118" s="430" customFormat="1" x14ac:dyDescent="0.3"/>
    <row r="119" s="430" customFormat="1" x14ac:dyDescent="0.3"/>
    <row r="120" s="430" customFormat="1" x14ac:dyDescent="0.3"/>
    <row r="121" s="430" customFormat="1" x14ac:dyDescent="0.3"/>
    <row r="122" s="430" customFormat="1" x14ac:dyDescent="0.3"/>
    <row r="123" s="430" customFormat="1" x14ac:dyDescent="0.3"/>
    <row r="124" s="430" customFormat="1" x14ac:dyDescent="0.3"/>
    <row r="125" s="430" customFormat="1" x14ac:dyDescent="0.3"/>
    <row r="126" s="430" customFormat="1" x14ac:dyDescent="0.3"/>
    <row r="127" s="430" customFormat="1" x14ac:dyDescent="0.3"/>
    <row r="128" s="430" customFormat="1" x14ac:dyDescent="0.3"/>
    <row r="129" s="430" customFormat="1" x14ac:dyDescent="0.3"/>
    <row r="130" s="430" customFormat="1" x14ac:dyDescent="0.3"/>
    <row r="131" s="430" customFormat="1" x14ac:dyDescent="0.3"/>
    <row r="132" s="430" customFormat="1" x14ac:dyDescent="0.3"/>
    <row r="133" s="430" customFormat="1" x14ac:dyDescent="0.3"/>
    <row r="134" s="430" customFormat="1" x14ac:dyDescent="0.3"/>
    <row r="135" s="430" customFormat="1" x14ac:dyDescent="0.3"/>
    <row r="136" s="430" customFormat="1" x14ac:dyDescent="0.3"/>
    <row r="137" s="430" customFormat="1" x14ac:dyDescent="0.3"/>
    <row r="138" s="430" customFormat="1" x14ac:dyDescent="0.3"/>
    <row r="139" s="430" customFormat="1" x14ac:dyDescent="0.3"/>
    <row r="140" s="430" customFormat="1" x14ac:dyDescent="0.3"/>
    <row r="141" s="430" customFormat="1" x14ac:dyDescent="0.3"/>
    <row r="142" s="430" customFormat="1" x14ac:dyDescent="0.3"/>
    <row r="143" s="430" customFormat="1" x14ac:dyDescent="0.3"/>
    <row r="144" s="430" customFormat="1" x14ac:dyDescent="0.3"/>
    <row r="145" s="430" customFormat="1" x14ac:dyDescent="0.3"/>
    <row r="146" s="430" customFormat="1" x14ac:dyDescent="0.3"/>
    <row r="147" s="430" customFormat="1" x14ac:dyDescent="0.3"/>
    <row r="148" s="430" customFormat="1" x14ac:dyDescent="0.3"/>
    <row r="149" s="430" customFormat="1" x14ac:dyDescent="0.3"/>
    <row r="150" s="430" customFormat="1" x14ac:dyDescent="0.3"/>
    <row r="151" s="430" customFormat="1" x14ac:dyDescent="0.3"/>
    <row r="152" s="430" customFormat="1" x14ac:dyDescent="0.3"/>
    <row r="153" s="430" customFormat="1" x14ac:dyDescent="0.3"/>
    <row r="154" s="430" customFormat="1" x14ac:dyDescent="0.3"/>
    <row r="155" s="430" customFormat="1" x14ac:dyDescent="0.3"/>
    <row r="156" s="430" customFormat="1" x14ac:dyDescent="0.3"/>
    <row r="157" s="430" customFormat="1" x14ac:dyDescent="0.3"/>
    <row r="158" s="430" customFormat="1" x14ac:dyDescent="0.3"/>
    <row r="159" s="430" customFormat="1" x14ac:dyDescent="0.3"/>
    <row r="160" s="430" customFormat="1" x14ac:dyDescent="0.3"/>
    <row r="161" s="430" customFormat="1" x14ac:dyDescent="0.3"/>
    <row r="162" s="430" customFormat="1" x14ac:dyDescent="0.3"/>
    <row r="163" s="430" customFormat="1" x14ac:dyDescent="0.3"/>
    <row r="164" s="430" customFormat="1" x14ac:dyDescent="0.3"/>
    <row r="165" s="430" customFormat="1" x14ac:dyDescent="0.3"/>
    <row r="166" s="430" customFormat="1" x14ac:dyDescent="0.3"/>
    <row r="167" s="430" customFormat="1" x14ac:dyDescent="0.3"/>
    <row r="168" s="430" customFormat="1" x14ac:dyDescent="0.3"/>
    <row r="169" s="430" customFormat="1" x14ac:dyDescent="0.3"/>
    <row r="170" s="430" customFormat="1" x14ac:dyDescent="0.3"/>
    <row r="171" s="430" customFormat="1" x14ac:dyDescent="0.3"/>
    <row r="172" s="430" customFormat="1" x14ac:dyDescent="0.3"/>
    <row r="173" s="430" customFormat="1" x14ac:dyDescent="0.3"/>
    <row r="174" s="430" customFormat="1" x14ac:dyDescent="0.3"/>
    <row r="175" s="430" customFormat="1" x14ac:dyDescent="0.3"/>
    <row r="176" s="430" customFormat="1" x14ac:dyDescent="0.3"/>
    <row r="177" s="430" customFormat="1" x14ac:dyDescent="0.3"/>
    <row r="178" s="430" customFormat="1" x14ac:dyDescent="0.3"/>
    <row r="179" s="430" customFormat="1" x14ac:dyDescent="0.3"/>
    <row r="180" s="430" customFormat="1" x14ac:dyDescent="0.3"/>
    <row r="181" s="430" customFormat="1" x14ac:dyDescent="0.3"/>
    <row r="182" s="430" customFormat="1" x14ac:dyDescent="0.3"/>
    <row r="183" s="430" customFormat="1" x14ac:dyDescent="0.3"/>
    <row r="184" s="430" customFormat="1" x14ac:dyDescent="0.3"/>
    <row r="185" s="430" customFormat="1" x14ac:dyDescent="0.3"/>
    <row r="186" s="430" customFormat="1" x14ac:dyDescent="0.3"/>
    <row r="187" s="430" customFormat="1" x14ac:dyDescent="0.3"/>
    <row r="188" s="430" customFormat="1" x14ac:dyDescent="0.3"/>
    <row r="189" s="430" customFormat="1" x14ac:dyDescent="0.3"/>
    <row r="190" s="430" customFormat="1" x14ac:dyDescent="0.3"/>
    <row r="191" s="430" customFormat="1" x14ac:dyDescent="0.3"/>
    <row r="192" s="430" customFormat="1" x14ac:dyDescent="0.3"/>
    <row r="193" s="430" customFormat="1" x14ac:dyDescent="0.3"/>
    <row r="194" s="430" customFormat="1" x14ac:dyDescent="0.3"/>
    <row r="195" s="430" customFormat="1" x14ac:dyDescent="0.3"/>
    <row r="196" s="430" customFormat="1" x14ac:dyDescent="0.3"/>
    <row r="197" s="430" customFormat="1" x14ac:dyDescent="0.3"/>
    <row r="198" s="430" customFormat="1" x14ac:dyDescent="0.3"/>
    <row r="199" s="430" customFormat="1" x14ac:dyDescent="0.3"/>
    <row r="200" s="430" customFormat="1" x14ac:dyDescent="0.3"/>
    <row r="201" s="430" customFormat="1" x14ac:dyDescent="0.3"/>
    <row r="202" s="430" customFormat="1" x14ac:dyDescent="0.3"/>
    <row r="203" s="430" customFormat="1" x14ac:dyDescent="0.3"/>
    <row r="204" s="430" customFormat="1" x14ac:dyDescent="0.3"/>
    <row r="205" s="430" customFormat="1" x14ac:dyDescent="0.3"/>
    <row r="206" s="430" customFormat="1" x14ac:dyDescent="0.3"/>
    <row r="207" s="430" customFormat="1" x14ac:dyDescent="0.3"/>
    <row r="208" s="430" customFormat="1" x14ac:dyDescent="0.3"/>
    <row r="209" s="430" customFormat="1" x14ac:dyDescent="0.3"/>
    <row r="210" s="430" customFormat="1" x14ac:dyDescent="0.3"/>
    <row r="211" s="430" customFormat="1" x14ac:dyDescent="0.3"/>
    <row r="212" s="430" customFormat="1" x14ac:dyDescent="0.3"/>
    <row r="213" s="430" customFormat="1" x14ac:dyDescent="0.3"/>
    <row r="214" s="430" customFormat="1" x14ac:dyDescent="0.3"/>
    <row r="215" s="430" customFormat="1" x14ac:dyDescent="0.3"/>
    <row r="216" s="430" customFormat="1" x14ac:dyDescent="0.3"/>
    <row r="217" s="430" customFormat="1" x14ac:dyDescent="0.3"/>
    <row r="218" s="430" customFormat="1" x14ac:dyDescent="0.3"/>
    <row r="219" s="430" customFormat="1" x14ac:dyDescent="0.3"/>
    <row r="220" s="430" customFormat="1" x14ac:dyDescent="0.3"/>
    <row r="221" s="430" customFormat="1" x14ac:dyDescent="0.3"/>
    <row r="222" s="430" customFormat="1" x14ac:dyDescent="0.3"/>
    <row r="223" s="430" customFormat="1" x14ac:dyDescent="0.3"/>
    <row r="224" s="430" customFormat="1" x14ac:dyDescent="0.3"/>
    <row r="225" s="430" customFormat="1" x14ac:dyDescent="0.3"/>
    <row r="226" s="430" customFormat="1" x14ac:dyDescent="0.3"/>
    <row r="227" s="430" customFormat="1" x14ac:dyDescent="0.3"/>
    <row r="228" s="430" customFormat="1" x14ac:dyDescent="0.3"/>
    <row r="229" s="430" customFormat="1" x14ac:dyDescent="0.3"/>
    <row r="230" s="430" customFormat="1" x14ac:dyDescent="0.3"/>
    <row r="231" s="430" customFormat="1" x14ac:dyDescent="0.3"/>
    <row r="232" s="430" customFormat="1" x14ac:dyDescent="0.3"/>
    <row r="233" s="430" customFormat="1" x14ac:dyDescent="0.3"/>
    <row r="234" s="430" customFormat="1" x14ac:dyDescent="0.3"/>
    <row r="235" s="430" customFormat="1" x14ac:dyDescent="0.3"/>
    <row r="236" s="430" customFormat="1" x14ac:dyDescent="0.3"/>
    <row r="237" s="430" customFormat="1" x14ac:dyDescent="0.3"/>
    <row r="238" s="430" customFormat="1" x14ac:dyDescent="0.3"/>
    <row r="239" s="430" customFormat="1" x14ac:dyDescent="0.3"/>
    <row r="240" s="430" customFormat="1" x14ac:dyDescent="0.3"/>
    <row r="241" s="430" customFormat="1" x14ac:dyDescent="0.3"/>
    <row r="242" s="430" customFormat="1" x14ac:dyDescent="0.3"/>
    <row r="243" s="430" customFormat="1" x14ac:dyDescent="0.3"/>
    <row r="244" s="430" customFormat="1" x14ac:dyDescent="0.3"/>
    <row r="245" s="430" customFormat="1" x14ac:dyDescent="0.3"/>
    <row r="246" s="430" customFormat="1" x14ac:dyDescent="0.3"/>
    <row r="247" s="430" customFormat="1" x14ac:dyDescent="0.3"/>
    <row r="248" s="430" customFormat="1" x14ac:dyDescent="0.3"/>
    <row r="249" s="430" customFormat="1" x14ac:dyDescent="0.3"/>
    <row r="250" s="430" customFormat="1" x14ac:dyDescent="0.3"/>
    <row r="251" s="430" customFormat="1" x14ac:dyDescent="0.3"/>
    <row r="252" s="430" customFormat="1" x14ac:dyDescent="0.3"/>
    <row r="253" s="430" customFormat="1" x14ac:dyDescent="0.3"/>
    <row r="254" s="430" customFormat="1" x14ac:dyDescent="0.3"/>
    <row r="255" s="430" customFormat="1" x14ac:dyDescent="0.3"/>
    <row r="256" s="430" customFormat="1" x14ac:dyDescent="0.3"/>
    <row r="257" s="430" customFormat="1" x14ac:dyDescent="0.3"/>
    <row r="258" s="430" customFormat="1" x14ac:dyDescent="0.3"/>
    <row r="259" s="430" customFormat="1" x14ac:dyDescent="0.3"/>
    <row r="260" s="430" customFormat="1" x14ac:dyDescent="0.3"/>
    <row r="261" s="430" customFormat="1" x14ac:dyDescent="0.3"/>
    <row r="262" s="430" customFormat="1" x14ac:dyDescent="0.3"/>
    <row r="263" s="430" customFormat="1" x14ac:dyDescent="0.3"/>
    <row r="264" s="430" customFormat="1" x14ac:dyDescent="0.3"/>
    <row r="265" s="430" customFormat="1" x14ac:dyDescent="0.3"/>
    <row r="266" s="430" customFormat="1" x14ac:dyDescent="0.3"/>
    <row r="267" s="430" customFormat="1" x14ac:dyDescent="0.3"/>
    <row r="268" s="430" customFormat="1" x14ac:dyDescent="0.3"/>
    <row r="269" s="430" customFormat="1" x14ac:dyDescent="0.3"/>
    <row r="270" s="430" customFormat="1" x14ac:dyDescent="0.3"/>
    <row r="271" s="430" customFormat="1" x14ac:dyDescent="0.3"/>
    <row r="272" s="430" customFormat="1" x14ac:dyDescent="0.3"/>
    <row r="273" s="430" customFormat="1" x14ac:dyDescent="0.3"/>
    <row r="274" s="430" customFormat="1" x14ac:dyDescent="0.3"/>
    <row r="275" s="430" customFormat="1" x14ac:dyDescent="0.3"/>
    <row r="276" s="430" customFormat="1" x14ac:dyDescent="0.3"/>
    <row r="277" s="430" customFormat="1" x14ac:dyDescent="0.3"/>
    <row r="278" s="430" customFormat="1" x14ac:dyDescent="0.3"/>
    <row r="279" s="430" customFormat="1" x14ac:dyDescent="0.3"/>
    <row r="280" s="430" customFormat="1" x14ac:dyDescent="0.3"/>
    <row r="281" s="430" customFormat="1" x14ac:dyDescent="0.3"/>
    <row r="282" s="430" customFormat="1" x14ac:dyDescent="0.3"/>
    <row r="283" s="430" customFormat="1" x14ac:dyDescent="0.3"/>
    <row r="284" s="430" customFormat="1" x14ac:dyDescent="0.3"/>
    <row r="285" s="430" customFormat="1" x14ac:dyDescent="0.3"/>
    <row r="286" s="430" customFormat="1" x14ac:dyDescent="0.3"/>
    <row r="287" s="430" customFormat="1" x14ac:dyDescent="0.3"/>
    <row r="288" s="430" customFormat="1" x14ac:dyDescent="0.3"/>
    <row r="289" s="430" customFormat="1" x14ac:dyDescent="0.3"/>
    <row r="290" s="430" customFormat="1" x14ac:dyDescent="0.3"/>
    <row r="291" s="430" customFormat="1" x14ac:dyDescent="0.3"/>
    <row r="292" s="430" customFormat="1" x14ac:dyDescent="0.3"/>
    <row r="293" s="430" customFormat="1" x14ac:dyDescent="0.3"/>
    <row r="294" s="430" customFormat="1" x14ac:dyDescent="0.3"/>
    <row r="295" s="430" customFormat="1" x14ac:dyDescent="0.3"/>
    <row r="296" s="430" customFormat="1" x14ac:dyDescent="0.3"/>
    <row r="297" s="430" customFormat="1" x14ac:dyDescent="0.3"/>
    <row r="298" s="430" customFormat="1" x14ac:dyDescent="0.3"/>
    <row r="299" s="430" customFormat="1" x14ac:dyDescent="0.3"/>
    <row r="300" s="430" customFormat="1" x14ac:dyDescent="0.3"/>
    <row r="301" s="430" customFormat="1" x14ac:dyDescent="0.3"/>
    <row r="302" s="430" customFormat="1" x14ac:dyDescent="0.3"/>
    <row r="303" s="430" customFormat="1" x14ac:dyDescent="0.3"/>
    <row r="304" s="430" customFormat="1" x14ac:dyDescent="0.3"/>
    <row r="305" s="430" customFormat="1" x14ac:dyDescent="0.3"/>
    <row r="306" s="430" customFormat="1" x14ac:dyDescent="0.3"/>
    <row r="307" s="430" customFormat="1" x14ac:dyDescent="0.3"/>
    <row r="308" s="430" customFormat="1" x14ac:dyDescent="0.3"/>
    <row r="309" s="430" customFormat="1" x14ac:dyDescent="0.3"/>
    <row r="310" s="430" customFormat="1" x14ac:dyDescent="0.3"/>
    <row r="311" s="430" customFormat="1" x14ac:dyDescent="0.3"/>
    <row r="312" s="430" customFormat="1" x14ac:dyDescent="0.3"/>
    <row r="313" s="430" customFormat="1" x14ac:dyDescent="0.3"/>
    <row r="314" s="430" customFormat="1" x14ac:dyDescent="0.3"/>
    <row r="315" s="430" customFormat="1" x14ac:dyDescent="0.3"/>
    <row r="316" s="430" customFormat="1" x14ac:dyDescent="0.3"/>
    <row r="317" s="430" customFormat="1" x14ac:dyDescent="0.3"/>
    <row r="318" s="430" customFormat="1" x14ac:dyDescent="0.3"/>
    <row r="319" s="430" customFormat="1" x14ac:dyDescent="0.3"/>
    <row r="320" s="430" customFormat="1" x14ac:dyDescent="0.3"/>
    <row r="321" s="430" customFormat="1" x14ac:dyDescent="0.3"/>
    <row r="322" s="430" customFormat="1" x14ac:dyDescent="0.3"/>
    <row r="323" s="430" customFormat="1" x14ac:dyDescent="0.3"/>
    <row r="324" s="430" customFormat="1" x14ac:dyDescent="0.3"/>
    <row r="325" s="430" customFormat="1" x14ac:dyDescent="0.3"/>
    <row r="326" s="430" customFormat="1" x14ac:dyDescent="0.3"/>
    <row r="327" s="430" customFormat="1" x14ac:dyDescent="0.3"/>
    <row r="328" s="430" customFormat="1" x14ac:dyDescent="0.3"/>
    <row r="329" s="430" customFormat="1" x14ac:dyDescent="0.3"/>
    <row r="330" s="430" customFormat="1" x14ac:dyDescent="0.3"/>
    <row r="331" s="430" customFormat="1" x14ac:dyDescent="0.3"/>
    <row r="332" s="430" customFormat="1" x14ac:dyDescent="0.3"/>
    <row r="333" s="430" customFormat="1" x14ac:dyDescent="0.3"/>
    <row r="334" s="430" customFormat="1" x14ac:dyDescent="0.3"/>
    <row r="335" s="430" customFormat="1" x14ac:dyDescent="0.3"/>
    <row r="336" s="430" customFormat="1" x14ac:dyDescent="0.3"/>
    <row r="337" s="430" customFormat="1" x14ac:dyDescent="0.3"/>
    <row r="338" s="430" customFormat="1" x14ac:dyDescent="0.3"/>
    <row r="339" s="430" customFormat="1" x14ac:dyDescent="0.3"/>
    <row r="340" s="430" customFormat="1" x14ac:dyDescent="0.3"/>
    <row r="341" s="430" customFormat="1" x14ac:dyDescent="0.3"/>
    <row r="342" s="430" customFormat="1" x14ac:dyDescent="0.3"/>
    <row r="343" s="430" customFormat="1" x14ac:dyDescent="0.3"/>
    <row r="344" s="430" customFormat="1" x14ac:dyDescent="0.3"/>
    <row r="345" s="430" customFormat="1" x14ac:dyDescent="0.3"/>
    <row r="346" s="430" customFormat="1" x14ac:dyDescent="0.3"/>
    <row r="347" s="430" customFormat="1" x14ac:dyDescent="0.3"/>
    <row r="348" s="430" customFormat="1" x14ac:dyDescent="0.3"/>
    <row r="349" s="430" customFormat="1" x14ac:dyDescent="0.3"/>
    <row r="350" s="430" customFormat="1" x14ac:dyDescent="0.3"/>
    <row r="351" s="430" customFormat="1" x14ac:dyDescent="0.3"/>
    <row r="352" s="430" customFormat="1" x14ac:dyDescent="0.3"/>
    <row r="353" s="430" customFormat="1" x14ac:dyDescent="0.3"/>
    <row r="354" s="430" customFormat="1" x14ac:dyDescent="0.3"/>
    <row r="355" s="430" customFormat="1" x14ac:dyDescent="0.3"/>
    <row r="356" s="430" customFormat="1" x14ac:dyDescent="0.3"/>
    <row r="357" s="430" customFormat="1" x14ac:dyDescent="0.3"/>
    <row r="358" s="430" customFormat="1" x14ac:dyDescent="0.3"/>
    <row r="359" s="430" customFormat="1" x14ac:dyDescent="0.3"/>
    <row r="360" s="430" customFormat="1" x14ac:dyDescent="0.3"/>
    <row r="361" s="430" customFormat="1" x14ac:dyDescent="0.3"/>
    <row r="362" s="430" customFormat="1" x14ac:dyDescent="0.3"/>
    <row r="363" s="430" customFormat="1" x14ac:dyDescent="0.3"/>
    <row r="364" s="430" customFormat="1" x14ac:dyDescent="0.3"/>
    <row r="365" s="430" customFormat="1" x14ac:dyDescent="0.3"/>
    <row r="366" s="430" customFormat="1" x14ac:dyDescent="0.3"/>
    <row r="367" s="430" customFormat="1" x14ac:dyDescent="0.3"/>
    <row r="368" s="430" customFormat="1" x14ac:dyDescent="0.3"/>
    <row r="369" s="430" customFormat="1" x14ac:dyDescent="0.3"/>
    <row r="370" s="430" customFormat="1" x14ac:dyDescent="0.3"/>
    <row r="371" s="430" customFormat="1" x14ac:dyDescent="0.3"/>
    <row r="372" s="430" customFormat="1" x14ac:dyDescent="0.3"/>
    <row r="373" s="430" customFormat="1" x14ac:dyDescent="0.3"/>
    <row r="374" s="430" customFormat="1" x14ac:dyDescent="0.3"/>
    <row r="375" s="430" customFormat="1" x14ac:dyDescent="0.3"/>
    <row r="376" s="430" customFormat="1" x14ac:dyDescent="0.3"/>
    <row r="377" s="430" customFormat="1" x14ac:dyDescent="0.3"/>
    <row r="378" s="430" customFormat="1" x14ac:dyDescent="0.3"/>
    <row r="379" s="430" customFormat="1" x14ac:dyDescent="0.3"/>
    <row r="380" s="430" customFormat="1" x14ac:dyDescent="0.3"/>
    <row r="381" s="430" customFormat="1" x14ac:dyDescent="0.3"/>
    <row r="382" s="430" customFormat="1" x14ac:dyDescent="0.3"/>
    <row r="383" s="430" customFormat="1" x14ac:dyDescent="0.3"/>
    <row r="384" s="430" customFormat="1" x14ac:dyDescent="0.3"/>
    <row r="385" s="430" customFormat="1" x14ac:dyDescent="0.3"/>
    <row r="386" s="430" customFormat="1" x14ac:dyDescent="0.3"/>
    <row r="387" s="430" customFormat="1" x14ac:dyDescent="0.3"/>
    <row r="388" s="430" customFormat="1" x14ac:dyDescent="0.3"/>
    <row r="389" s="430" customFormat="1" x14ac:dyDescent="0.3"/>
    <row r="390" s="430" customFormat="1" x14ac:dyDescent="0.3"/>
    <row r="391" s="430" customFormat="1" x14ac:dyDescent="0.3"/>
    <row r="392" s="430" customFormat="1" x14ac:dyDescent="0.3"/>
    <row r="393" s="430" customFormat="1" x14ac:dyDescent="0.3"/>
    <row r="394" s="430" customFormat="1" x14ac:dyDescent="0.3"/>
    <row r="395" s="430" customFormat="1" x14ac:dyDescent="0.3"/>
    <row r="396" s="430" customFormat="1" x14ac:dyDescent="0.3"/>
    <row r="397" s="430" customFormat="1" x14ac:dyDescent="0.3"/>
    <row r="398" s="430" customFormat="1" x14ac:dyDescent="0.3"/>
    <row r="399" s="430" customFormat="1" x14ac:dyDescent="0.3"/>
    <row r="400" s="430" customFormat="1" x14ac:dyDescent="0.3"/>
    <row r="401" s="430" customFormat="1" x14ac:dyDescent="0.3"/>
    <row r="402" s="430" customFormat="1" x14ac:dyDescent="0.3"/>
    <row r="403" s="430" customFormat="1" x14ac:dyDescent="0.3"/>
    <row r="404" s="430" customFormat="1" x14ac:dyDescent="0.3"/>
    <row r="405" s="430" customFormat="1" x14ac:dyDescent="0.3"/>
    <row r="406" s="430" customFormat="1" x14ac:dyDescent="0.3"/>
    <row r="407" s="430" customFormat="1" x14ac:dyDescent="0.3"/>
    <row r="408" s="430" customFormat="1" x14ac:dyDescent="0.3"/>
    <row r="409" s="430" customFormat="1" x14ac:dyDescent="0.3"/>
    <row r="410" s="430" customFormat="1" x14ac:dyDescent="0.3"/>
    <row r="411" s="430" customFormat="1" x14ac:dyDescent="0.3"/>
    <row r="412" s="430" customFormat="1" x14ac:dyDescent="0.3"/>
    <row r="413" s="430" customFormat="1" x14ac:dyDescent="0.3"/>
    <row r="414" s="430" customFormat="1" x14ac:dyDescent="0.3"/>
    <row r="415" s="430" customFormat="1" x14ac:dyDescent="0.3"/>
    <row r="416" s="430" customFormat="1" x14ac:dyDescent="0.3"/>
    <row r="417" s="430" customFormat="1" x14ac:dyDescent="0.3"/>
    <row r="418" s="430" customFormat="1" x14ac:dyDescent="0.3"/>
    <row r="419" s="430" customFormat="1" x14ac:dyDescent="0.3"/>
    <row r="420" s="430" customFormat="1" x14ac:dyDescent="0.3"/>
    <row r="421" s="430" customFormat="1" x14ac:dyDescent="0.3"/>
    <row r="422" s="430" customFormat="1" x14ac:dyDescent="0.3"/>
    <row r="423" s="430" customFormat="1" x14ac:dyDescent="0.3"/>
    <row r="424" s="430" customFormat="1" x14ac:dyDescent="0.3"/>
    <row r="425" s="430" customFormat="1" x14ac:dyDescent="0.3"/>
    <row r="426" s="430" customFormat="1" x14ac:dyDescent="0.3"/>
    <row r="427" s="430" customFormat="1" x14ac:dyDescent="0.3"/>
    <row r="428" s="430" customFormat="1" x14ac:dyDescent="0.3"/>
    <row r="429" s="430" customFormat="1" x14ac:dyDescent="0.3"/>
    <row r="430" s="430" customFormat="1" x14ac:dyDescent="0.3"/>
    <row r="431" s="430" customFormat="1" x14ac:dyDescent="0.3"/>
    <row r="432" s="430" customFormat="1" x14ac:dyDescent="0.3"/>
    <row r="433" s="430" customFormat="1" x14ac:dyDescent="0.3"/>
    <row r="434" s="430" customFormat="1" x14ac:dyDescent="0.3"/>
    <row r="435" s="430" customFormat="1" x14ac:dyDescent="0.3"/>
    <row r="436" s="430" customFormat="1" x14ac:dyDescent="0.3"/>
    <row r="437" s="430" customFormat="1" x14ac:dyDescent="0.3"/>
    <row r="438" s="430" customFormat="1" x14ac:dyDescent="0.3"/>
    <row r="439" s="430" customFormat="1" x14ac:dyDescent="0.3"/>
    <row r="440" s="430" customFormat="1" x14ac:dyDescent="0.3"/>
    <row r="441" s="430" customFormat="1" x14ac:dyDescent="0.3"/>
    <row r="442" s="430" customFormat="1" x14ac:dyDescent="0.3"/>
    <row r="443" s="430" customFormat="1" x14ac:dyDescent="0.3"/>
    <row r="444" s="430" customFormat="1" x14ac:dyDescent="0.3"/>
    <row r="445" s="430" customFormat="1" x14ac:dyDescent="0.3"/>
    <row r="446" s="430" customFormat="1" x14ac:dyDescent="0.3"/>
    <row r="447" s="430" customFormat="1" x14ac:dyDescent="0.3"/>
    <row r="448" s="430" customFormat="1" x14ac:dyDescent="0.3"/>
    <row r="449" s="430" customFormat="1" x14ac:dyDescent="0.3"/>
    <row r="450" s="430" customFormat="1" x14ac:dyDescent="0.3"/>
    <row r="451" s="430" customFormat="1" x14ac:dyDescent="0.3"/>
    <row r="452" s="430" customFormat="1" x14ac:dyDescent="0.3"/>
    <row r="453" s="430" customFormat="1" x14ac:dyDescent="0.3"/>
    <row r="454" s="430" customFormat="1" x14ac:dyDescent="0.3"/>
    <row r="455" s="430" customFormat="1" x14ac:dyDescent="0.3"/>
    <row r="456" s="430" customFormat="1" x14ac:dyDescent="0.3"/>
    <row r="457" s="430" customFormat="1" x14ac:dyDescent="0.3"/>
    <row r="458" s="430" customFormat="1" x14ac:dyDescent="0.3"/>
    <row r="459" s="430" customFormat="1" x14ac:dyDescent="0.3"/>
    <row r="460" s="430" customFormat="1" x14ac:dyDescent="0.3"/>
    <row r="461" s="430" customFormat="1" x14ac:dyDescent="0.3"/>
    <row r="462" s="430" customFormat="1" x14ac:dyDescent="0.3"/>
    <row r="463" s="430" customFormat="1" x14ac:dyDescent="0.3"/>
    <row r="464" s="430" customFormat="1" x14ac:dyDescent="0.3"/>
    <row r="465" s="430" customFormat="1" x14ac:dyDescent="0.3"/>
    <row r="466" s="430" customFormat="1" x14ac:dyDescent="0.3"/>
    <row r="467" s="430" customFormat="1" x14ac:dyDescent="0.3"/>
    <row r="468" s="430" customFormat="1" x14ac:dyDescent="0.3"/>
    <row r="469" s="430" customFormat="1" x14ac:dyDescent="0.3"/>
    <row r="470" s="430" customFormat="1" x14ac:dyDescent="0.3"/>
    <row r="471" s="430" customFormat="1" x14ac:dyDescent="0.3"/>
    <row r="472" s="430" customFormat="1" x14ac:dyDescent="0.3"/>
    <row r="473" s="430" customFormat="1" x14ac:dyDescent="0.3"/>
    <row r="474" s="430" customFormat="1" x14ac:dyDescent="0.3"/>
    <row r="475" s="430" customFormat="1" x14ac:dyDescent="0.3"/>
    <row r="476" s="430" customFormat="1" x14ac:dyDescent="0.3"/>
    <row r="477" s="430" customFormat="1" x14ac:dyDescent="0.3"/>
    <row r="478" s="430" customFormat="1" x14ac:dyDescent="0.3"/>
    <row r="479" s="430" customFormat="1" x14ac:dyDescent="0.3"/>
    <row r="480" s="430" customFormat="1" x14ac:dyDescent="0.3"/>
    <row r="481" s="430" customFormat="1" x14ac:dyDescent="0.3"/>
    <row r="482" s="430" customFormat="1" x14ac:dyDescent="0.3"/>
    <row r="483" s="430" customFormat="1" x14ac:dyDescent="0.3"/>
    <row r="484" s="430" customFormat="1" x14ac:dyDescent="0.3"/>
    <row r="485" s="430" customFormat="1" x14ac:dyDescent="0.3"/>
    <row r="486" s="430" customFormat="1" x14ac:dyDescent="0.3"/>
    <row r="487" s="430" customFormat="1" x14ac:dyDescent="0.3"/>
    <row r="488" s="430" customFormat="1" x14ac:dyDescent="0.3"/>
    <row r="489" s="430" customFormat="1" x14ac:dyDescent="0.3"/>
    <row r="490" s="430" customFormat="1" x14ac:dyDescent="0.3"/>
    <row r="491" s="430" customFormat="1" x14ac:dyDescent="0.3"/>
    <row r="492" s="430" customFormat="1" x14ac:dyDescent="0.3"/>
    <row r="493" s="430" customFormat="1" x14ac:dyDescent="0.3"/>
    <row r="494" s="430" customFormat="1" x14ac:dyDescent="0.3"/>
    <row r="495" s="430" customFormat="1" x14ac:dyDescent="0.3"/>
    <row r="496" s="430" customFormat="1" x14ac:dyDescent="0.3"/>
    <row r="497" s="430" customFormat="1" x14ac:dyDescent="0.3"/>
    <row r="498" s="430" customFormat="1" x14ac:dyDescent="0.3"/>
    <row r="499" s="430" customFormat="1" x14ac:dyDescent="0.3"/>
    <row r="500" s="430" customFormat="1" x14ac:dyDescent="0.3"/>
    <row r="501" s="430" customFormat="1" x14ac:dyDescent="0.3"/>
    <row r="502" s="430" customFormat="1" x14ac:dyDescent="0.3"/>
    <row r="503" s="430" customFormat="1" x14ac:dyDescent="0.3"/>
    <row r="504" s="430" customFormat="1" x14ac:dyDescent="0.3"/>
    <row r="505" s="430" customFormat="1" x14ac:dyDescent="0.3"/>
    <row r="506" s="430" customFormat="1" x14ac:dyDescent="0.3"/>
    <row r="507" s="430" customFormat="1" x14ac:dyDescent="0.3"/>
    <row r="508" s="430" customFormat="1" x14ac:dyDescent="0.3"/>
    <row r="509" s="430" customFormat="1" x14ac:dyDescent="0.3"/>
    <row r="510" s="430" customFormat="1" x14ac:dyDescent="0.3"/>
    <row r="511" s="430" customFormat="1" x14ac:dyDescent="0.3"/>
    <row r="512" s="430" customFormat="1" x14ac:dyDescent="0.3"/>
    <row r="513" s="430" customFormat="1" x14ac:dyDescent="0.3"/>
    <row r="514" s="430" customFormat="1" x14ac:dyDescent="0.3"/>
    <row r="515" s="430" customFormat="1" x14ac:dyDescent="0.3"/>
    <row r="516" s="430" customFormat="1" x14ac:dyDescent="0.3"/>
    <row r="517" s="430" customFormat="1" x14ac:dyDescent="0.3"/>
    <row r="518" s="430" customFormat="1" x14ac:dyDescent="0.3"/>
    <row r="519" s="430" customFormat="1" x14ac:dyDescent="0.3"/>
    <row r="520" s="430" customFormat="1" x14ac:dyDescent="0.3"/>
    <row r="521" s="430" customFormat="1" x14ac:dyDescent="0.3"/>
    <row r="522" s="430" customFormat="1" x14ac:dyDescent="0.3"/>
    <row r="523" s="430" customFormat="1" x14ac:dyDescent="0.3"/>
    <row r="524" s="430" customFormat="1" x14ac:dyDescent="0.3"/>
    <row r="525" s="430" customFormat="1" x14ac:dyDescent="0.3"/>
    <row r="526" s="430" customFormat="1" x14ac:dyDescent="0.3"/>
    <row r="527" s="430" customFormat="1" x14ac:dyDescent="0.3"/>
    <row r="528" s="430" customFormat="1" x14ac:dyDescent="0.3"/>
    <row r="529" s="430" customFormat="1" x14ac:dyDescent="0.3"/>
    <row r="530" s="430" customFormat="1" x14ac:dyDescent="0.3"/>
    <row r="531" s="430" customFormat="1" x14ac:dyDescent="0.3"/>
    <row r="532" s="430" customFormat="1" x14ac:dyDescent="0.3"/>
    <row r="533" s="430" customFormat="1" x14ac:dyDescent="0.3"/>
    <row r="534" s="430" customFormat="1" x14ac:dyDescent="0.3"/>
    <row r="535" s="430" customFormat="1" x14ac:dyDescent="0.3"/>
    <row r="536" s="430" customFormat="1" x14ac:dyDescent="0.3"/>
    <row r="537" s="430" customFormat="1" x14ac:dyDescent="0.3"/>
    <row r="538" s="430" customFormat="1" x14ac:dyDescent="0.3"/>
    <row r="539" s="430" customFormat="1" x14ac:dyDescent="0.3"/>
    <row r="540" s="430" customFormat="1" x14ac:dyDescent="0.3"/>
    <row r="541" s="430" customFormat="1" x14ac:dyDescent="0.3"/>
    <row r="542" s="430" customFormat="1" x14ac:dyDescent="0.3"/>
    <row r="543" s="430" customFormat="1" x14ac:dyDescent="0.3"/>
    <row r="544" s="430" customFormat="1" x14ac:dyDescent="0.3"/>
    <row r="545" s="430" customFormat="1" x14ac:dyDescent="0.3"/>
    <row r="546" s="430" customFormat="1" x14ac:dyDescent="0.3"/>
    <row r="547" s="430" customFormat="1" x14ac:dyDescent="0.3"/>
    <row r="548" s="430" customFormat="1" x14ac:dyDescent="0.3"/>
    <row r="549" s="430" customFormat="1" x14ac:dyDescent="0.3"/>
    <row r="550" s="430" customFormat="1" x14ac:dyDescent="0.3"/>
    <row r="551" s="430" customFormat="1" x14ac:dyDescent="0.3"/>
    <row r="552" s="430" customFormat="1" x14ac:dyDescent="0.3"/>
    <row r="553" s="430" customFormat="1" x14ac:dyDescent="0.3"/>
    <row r="554" s="430" customFormat="1" x14ac:dyDescent="0.3"/>
    <row r="555" s="430" customFormat="1" x14ac:dyDescent="0.3"/>
    <row r="556" s="430" customFormat="1" x14ac:dyDescent="0.3"/>
    <row r="557" s="430" customFormat="1" x14ac:dyDescent="0.3"/>
    <row r="558" s="430" customFormat="1" x14ac:dyDescent="0.3"/>
    <row r="559" s="430" customFormat="1" x14ac:dyDescent="0.3"/>
    <row r="560" s="430" customFormat="1" x14ac:dyDescent="0.3"/>
    <row r="561" s="430" customFormat="1" x14ac:dyDescent="0.3"/>
    <row r="562" s="430" customFormat="1" x14ac:dyDescent="0.3"/>
    <row r="563" s="430" customFormat="1" x14ac:dyDescent="0.3"/>
    <row r="564" s="430" customFormat="1" x14ac:dyDescent="0.3"/>
    <row r="565" s="430" customFormat="1" x14ac:dyDescent="0.3"/>
    <row r="566" s="430" customFormat="1" x14ac:dyDescent="0.3"/>
    <row r="567" s="430" customFormat="1" x14ac:dyDescent="0.3"/>
    <row r="568" s="430" customFormat="1" x14ac:dyDescent="0.3"/>
    <row r="569" s="430" customFormat="1" x14ac:dyDescent="0.3"/>
    <row r="570" s="430" customFormat="1" x14ac:dyDescent="0.3"/>
    <row r="571" s="430" customFormat="1" x14ac:dyDescent="0.3"/>
    <row r="572" s="430" customFormat="1" x14ac:dyDescent="0.3"/>
    <row r="573" s="430" customFormat="1" x14ac:dyDescent="0.3"/>
    <row r="574" s="430" customFormat="1" x14ac:dyDescent="0.3"/>
    <row r="575" s="430" customFormat="1" x14ac:dyDescent="0.3"/>
    <row r="576" s="430" customFormat="1" x14ac:dyDescent="0.3"/>
    <row r="577" s="430" customFormat="1" x14ac:dyDescent="0.3"/>
    <row r="578" s="430" customFormat="1" x14ac:dyDescent="0.3"/>
    <row r="579" s="430" customFormat="1" x14ac:dyDescent="0.3"/>
    <row r="580" s="430" customFormat="1" x14ac:dyDescent="0.3"/>
    <row r="581" s="430" customFormat="1" x14ac:dyDescent="0.3"/>
    <row r="582" s="430" customFormat="1" x14ac:dyDescent="0.3"/>
    <row r="583" s="430" customFormat="1" x14ac:dyDescent="0.3"/>
    <row r="584" s="430" customFormat="1" x14ac:dyDescent="0.3"/>
    <row r="585" s="430" customFormat="1" x14ac:dyDescent="0.3"/>
    <row r="586" s="430" customFormat="1" x14ac:dyDescent="0.3"/>
    <row r="587" s="430" customFormat="1" x14ac:dyDescent="0.3"/>
    <row r="588" s="430" customFormat="1" x14ac:dyDescent="0.3"/>
    <row r="589" s="430" customFormat="1" x14ac:dyDescent="0.3"/>
    <row r="590" s="430" customFormat="1" x14ac:dyDescent="0.3"/>
    <row r="591" s="430" customFormat="1" x14ac:dyDescent="0.3"/>
    <row r="592" s="430" customFormat="1" x14ac:dyDescent="0.3"/>
    <row r="593" s="430" customFormat="1" x14ac:dyDescent="0.3"/>
    <row r="594" s="430" customFormat="1" x14ac:dyDescent="0.3"/>
    <row r="595" s="430" customFormat="1" x14ac:dyDescent="0.3"/>
    <row r="596" s="430" customFormat="1" x14ac:dyDescent="0.3"/>
    <row r="597" s="430" customFormat="1" x14ac:dyDescent="0.3"/>
    <row r="598" s="430" customFormat="1" x14ac:dyDescent="0.3"/>
    <row r="599" s="430" customFormat="1" x14ac:dyDescent="0.3"/>
    <row r="600" s="430" customFormat="1" x14ac:dyDescent="0.3"/>
    <row r="601" s="430" customFormat="1" x14ac:dyDescent="0.3"/>
    <row r="602" s="430" customFormat="1" x14ac:dyDescent="0.3"/>
    <row r="603" s="430" customFormat="1" x14ac:dyDescent="0.3"/>
    <row r="604" s="430" customFormat="1" x14ac:dyDescent="0.3"/>
    <row r="605" s="430" customFormat="1" x14ac:dyDescent="0.3"/>
    <row r="606" s="430" customFormat="1" x14ac:dyDescent="0.3"/>
    <row r="607" s="430" customFormat="1" x14ac:dyDescent="0.3"/>
    <row r="608" s="430" customFormat="1" x14ac:dyDescent="0.3"/>
    <row r="609" s="430" customFormat="1" x14ac:dyDescent="0.3"/>
    <row r="610" s="430" customFormat="1" x14ac:dyDescent="0.3"/>
    <row r="611" s="430" customFormat="1" x14ac:dyDescent="0.3"/>
    <row r="612" s="430" customFormat="1" x14ac:dyDescent="0.3"/>
    <row r="613" s="430" customFormat="1" x14ac:dyDescent="0.3"/>
    <row r="614" s="430" customFormat="1" x14ac:dyDescent="0.3"/>
    <row r="615" s="430" customFormat="1" x14ac:dyDescent="0.3"/>
    <row r="616" s="430" customFormat="1" x14ac:dyDescent="0.3"/>
    <row r="617" s="430" customFormat="1" x14ac:dyDescent="0.3"/>
    <row r="618" s="430" customFormat="1" x14ac:dyDescent="0.3"/>
    <row r="619" s="430" customFormat="1" x14ac:dyDescent="0.3"/>
    <row r="620" s="430" customFormat="1" x14ac:dyDescent="0.3"/>
    <row r="621" s="430" customFormat="1" x14ac:dyDescent="0.3"/>
    <row r="622" s="430" customFormat="1" x14ac:dyDescent="0.3"/>
    <row r="623" s="430" customFormat="1" x14ac:dyDescent="0.3"/>
    <row r="624" s="430" customFormat="1" x14ac:dyDescent="0.3"/>
    <row r="625" s="430" customFormat="1" x14ac:dyDescent="0.3"/>
    <row r="626" s="430" customFormat="1" x14ac:dyDescent="0.3"/>
    <row r="627" s="430" customFormat="1" x14ac:dyDescent="0.3"/>
    <row r="628" s="430" customFormat="1" x14ac:dyDescent="0.3"/>
    <row r="629" s="430" customFormat="1" x14ac:dyDescent="0.3"/>
    <row r="630" s="430" customFormat="1" x14ac:dyDescent="0.3"/>
    <row r="631" s="430" customFormat="1" x14ac:dyDescent="0.3"/>
    <row r="632" s="430" customFormat="1" x14ac:dyDescent="0.3"/>
    <row r="633" s="430" customFormat="1" x14ac:dyDescent="0.3"/>
    <row r="634" s="430" customFormat="1" x14ac:dyDescent="0.3"/>
    <row r="635" s="430" customFormat="1" x14ac:dyDescent="0.3"/>
    <row r="636" s="430" customFormat="1" x14ac:dyDescent="0.3"/>
    <row r="637" s="430" customFormat="1" x14ac:dyDescent="0.3"/>
    <row r="638" s="430" customFormat="1" x14ac:dyDescent="0.3"/>
    <row r="639" s="430" customFormat="1" x14ac:dyDescent="0.3"/>
    <row r="640" s="430" customFormat="1" x14ac:dyDescent="0.3"/>
    <row r="641" s="430" customFormat="1" x14ac:dyDescent="0.3"/>
    <row r="642" s="430" customFormat="1" x14ac:dyDescent="0.3"/>
    <row r="643" s="430" customFormat="1" x14ac:dyDescent="0.3"/>
    <row r="644" s="430" customFormat="1" x14ac:dyDescent="0.3"/>
    <row r="645" s="430" customFormat="1" x14ac:dyDescent="0.3"/>
    <row r="646" s="430" customFormat="1" x14ac:dyDescent="0.3"/>
    <row r="647" s="430" customFormat="1" x14ac:dyDescent="0.3"/>
    <row r="648" s="430" customFormat="1" x14ac:dyDescent="0.3"/>
    <row r="649" s="430" customFormat="1" x14ac:dyDescent="0.3"/>
    <row r="650" s="430" customFormat="1" x14ac:dyDescent="0.3"/>
    <row r="651" s="430" customFormat="1" x14ac:dyDescent="0.3"/>
    <row r="652" s="430" customFormat="1" x14ac:dyDescent="0.3"/>
    <row r="653" s="430" customFormat="1" x14ac:dyDescent="0.3"/>
    <row r="654" s="430" customFormat="1" x14ac:dyDescent="0.3"/>
    <row r="655" s="430" customFormat="1" x14ac:dyDescent="0.3"/>
    <row r="656" s="430" customFormat="1" x14ac:dyDescent="0.3"/>
    <row r="657" s="430" customFormat="1" x14ac:dyDescent="0.3"/>
    <row r="658" s="430" customFormat="1" x14ac:dyDescent="0.3"/>
    <row r="659" s="430" customFormat="1" x14ac:dyDescent="0.3"/>
    <row r="660" s="430" customFormat="1" x14ac:dyDescent="0.3"/>
    <row r="661" s="430" customFormat="1" x14ac:dyDescent="0.3"/>
    <row r="662" s="430" customFormat="1" x14ac:dyDescent="0.3"/>
    <row r="663" s="430" customFormat="1" x14ac:dyDescent="0.3"/>
    <row r="664" s="430" customFormat="1" x14ac:dyDescent="0.3"/>
    <row r="665" s="430" customFormat="1" x14ac:dyDescent="0.3"/>
    <row r="666" s="430" customFormat="1" x14ac:dyDescent="0.3"/>
    <row r="667" s="430" customFormat="1" x14ac:dyDescent="0.3"/>
    <row r="668" s="430" customFormat="1" x14ac:dyDescent="0.3"/>
    <row r="669" s="430" customFormat="1" x14ac:dyDescent="0.3"/>
    <row r="670" s="430" customFormat="1" x14ac:dyDescent="0.3"/>
    <row r="671" s="430" customFormat="1" x14ac:dyDescent="0.3"/>
    <row r="672" s="430" customFormat="1" x14ac:dyDescent="0.3"/>
    <row r="673" s="430" customFormat="1" x14ac:dyDescent="0.3"/>
    <row r="674" s="430" customFormat="1" x14ac:dyDescent="0.3"/>
    <row r="675" s="430" customFormat="1" x14ac:dyDescent="0.3"/>
    <row r="676" s="430" customFormat="1" x14ac:dyDescent="0.3"/>
    <row r="677" s="430" customFormat="1" x14ac:dyDescent="0.3"/>
    <row r="678" s="430" customFormat="1" x14ac:dyDescent="0.3"/>
    <row r="679" s="430" customFormat="1" x14ac:dyDescent="0.3"/>
    <row r="680" s="430" customFormat="1" x14ac:dyDescent="0.3"/>
    <row r="681" s="430" customFormat="1" x14ac:dyDescent="0.3"/>
    <row r="682" s="430" customFormat="1" x14ac:dyDescent="0.3"/>
    <row r="683" s="430" customFormat="1" x14ac:dyDescent="0.3"/>
    <row r="684" s="430" customFormat="1" x14ac:dyDescent="0.3"/>
    <row r="685" s="430" customFormat="1" x14ac:dyDescent="0.3"/>
    <row r="686" s="430" customFormat="1" x14ac:dyDescent="0.3"/>
    <row r="687" s="430" customFormat="1" x14ac:dyDescent="0.3"/>
    <row r="688" s="430" customFormat="1" x14ac:dyDescent="0.3"/>
    <row r="689" s="430" customFormat="1" x14ac:dyDescent="0.3"/>
    <row r="690" s="430" customFormat="1" x14ac:dyDescent="0.3"/>
    <row r="691" s="430" customFormat="1" x14ac:dyDescent="0.3"/>
    <row r="692" s="430" customFormat="1" x14ac:dyDescent="0.3"/>
    <row r="693" s="430" customFormat="1" x14ac:dyDescent="0.3"/>
    <row r="694" s="430" customFormat="1" x14ac:dyDescent="0.3"/>
    <row r="695" s="430" customFormat="1" x14ac:dyDescent="0.3"/>
    <row r="696" s="430" customFormat="1" x14ac:dyDescent="0.3"/>
    <row r="697" s="430" customFormat="1" x14ac:dyDescent="0.3"/>
    <row r="698" s="430" customFormat="1" x14ac:dyDescent="0.3"/>
    <row r="699" s="430" customFormat="1" x14ac:dyDescent="0.3"/>
    <row r="700" s="430" customFormat="1" x14ac:dyDescent="0.3"/>
    <row r="701" s="430" customFormat="1" x14ac:dyDescent="0.3"/>
    <row r="702" s="430" customFormat="1" x14ac:dyDescent="0.3"/>
    <row r="703" s="430" customFormat="1" x14ac:dyDescent="0.3"/>
    <row r="704" s="430" customFormat="1" x14ac:dyDescent="0.3"/>
    <row r="705" s="430" customFormat="1" x14ac:dyDescent="0.3"/>
    <row r="706" s="430" customFormat="1" x14ac:dyDescent="0.3"/>
    <row r="707" s="430" customFormat="1" x14ac:dyDescent="0.3"/>
    <row r="708" s="430" customFormat="1" x14ac:dyDescent="0.3"/>
    <row r="709" s="430" customFormat="1" x14ac:dyDescent="0.3"/>
    <row r="710" s="430" customFormat="1" x14ac:dyDescent="0.3"/>
    <row r="711" s="430" customFormat="1" x14ac:dyDescent="0.3"/>
    <row r="712" s="430" customFormat="1" x14ac:dyDescent="0.3"/>
    <row r="713" s="430" customFormat="1" x14ac:dyDescent="0.3"/>
    <row r="714" s="430" customFormat="1" x14ac:dyDescent="0.3"/>
    <row r="715" s="430" customFormat="1" x14ac:dyDescent="0.3"/>
    <row r="716" s="430" customFormat="1" x14ac:dyDescent="0.3"/>
    <row r="717" s="430" customFormat="1" x14ac:dyDescent="0.3"/>
    <row r="718" s="430" customFormat="1" x14ac:dyDescent="0.3"/>
    <row r="719" s="430" customFormat="1" x14ac:dyDescent="0.3"/>
    <row r="720" s="430" customFormat="1" x14ac:dyDescent="0.3"/>
    <row r="721" s="430" customFormat="1" x14ac:dyDescent="0.3"/>
    <row r="722" s="430" customFormat="1" x14ac:dyDescent="0.3"/>
    <row r="723" s="430" customFormat="1" x14ac:dyDescent="0.3"/>
    <row r="724" s="430" customFormat="1" x14ac:dyDescent="0.3"/>
    <row r="725" s="430" customFormat="1" x14ac:dyDescent="0.3"/>
    <row r="726" s="430" customFormat="1" x14ac:dyDescent="0.3"/>
    <row r="727" s="430" customFormat="1" x14ac:dyDescent="0.3"/>
    <row r="728" s="430" customFormat="1" x14ac:dyDescent="0.3"/>
    <row r="729" s="430" customFormat="1" x14ac:dyDescent="0.3"/>
    <row r="730" s="430" customFormat="1" x14ac:dyDescent="0.3"/>
    <row r="731" s="430" customFormat="1" x14ac:dyDescent="0.3"/>
    <row r="732" s="430" customFormat="1" x14ac:dyDescent="0.3"/>
    <row r="733" s="430" customFormat="1" x14ac:dyDescent="0.3"/>
    <row r="734" s="430" customFormat="1" x14ac:dyDescent="0.3"/>
    <row r="735" s="430" customFormat="1" x14ac:dyDescent="0.3"/>
    <row r="736" s="430" customFormat="1" x14ac:dyDescent="0.3"/>
    <row r="737" s="430" customFormat="1" x14ac:dyDescent="0.3"/>
    <row r="738" s="430" customFormat="1" x14ac:dyDescent="0.3"/>
    <row r="739" s="430" customFormat="1" x14ac:dyDescent="0.3"/>
    <row r="740" s="430" customFormat="1" x14ac:dyDescent="0.3"/>
    <row r="741" s="430" customFormat="1" x14ac:dyDescent="0.3"/>
    <row r="742" s="430" customFormat="1" x14ac:dyDescent="0.3"/>
    <row r="743" s="430" customFormat="1" x14ac:dyDescent="0.3"/>
    <row r="744" s="430" customFormat="1" x14ac:dyDescent="0.3"/>
    <row r="745" s="430" customFormat="1" x14ac:dyDescent="0.3"/>
    <row r="746" s="430" customFormat="1" x14ac:dyDescent="0.3"/>
    <row r="747" s="430" customFormat="1" x14ac:dyDescent="0.3"/>
    <row r="748" s="430" customFormat="1" x14ac:dyDescent="0.3"/>
    <row r="749" s="430" customFormat="1" x14ac:dyDescent="0.3"/>
    <row r="750" s="430" customFormat="1" x14ac:dyDescent="0.3"/>
    <row r="751" s="430" customFormat="1" x14ac:dyDescent="0.3"/>
    <row r="752" s="430" customFormat="1" x14ac:dyDescent="0.3"/>
    <row r="753" s="430" customFormat="1" x14ac:dyDescent="0.3"/>
    <row r="754" s="430" customFormat="1" x14ac:dyDescent="0.3"/>
    <row r="755" s="430" customFormat="1" x14ac:dyDescent="0.3"/>
    <row r="756" s="430" customFormat="1" x14ac:dyDescent="0.3"/>
    <row r="757" s="430" customFormat="1" x14ac:dyDescent="0.3"/>
    <row r="758" s="430" customFormat="1" x14ac:dyDescent="0.3"/>
    <row r="759" s="430" customFormat="1" x14ac:dyDescent="0.3"/>
    <row r="760" s="430" customFormat="1" x14ac:dyDescent="0.3"/>
    <row r="761" s="430" customFormat="1" x14ac:dyDescent="0.3"/>
    <row r="762" s="430" customFormat="1" x14ac:dyDescent="0.3"/>
    <row r="763" s="430" customFormat="1" x14ac:dyDescent="0.3"/>
    <row r="764" s="430" customFormat="1" x14ac:dyDescent="0.3"/>
    <row r="765" s="430" customFormat="1" x14ac:dyDescent="0.3"/>
    <row r="766" s="430" customFormat="1" x14ac:dyDescent="0.3"/>
    <row r="767" s="430" customFormat="1" x14ac:dyDescent="0.3"/>
    <row r="768" s="430" customFormat="1" x14ac:dyDescent="0.3"/>
    <row r="769" s="430" customFormat="1" x14ac:dyDescent="0.3"/>
    <row r="770" s="430" customFormat="1" x14ac:dyDescent="0.3"/>
    <row r="771" s="430" customFormat="1" x14ac:dyDescent="0.3"/>
    <row r="772" s="430" customFormat="1" x14ac:dyDescent="0.3"/>
    <row r="773" s="430" customFormat="1" x14ac:dyDescent="0.3"/>
    <row r="774" s="430" customFormat="1" x14ac:dyDescent="0.3"/>
    <row r="775" s="430" customFormat="1" x14ac:dyDescent="0.3"/>
    <row r="776" s="430" customFormat="1" x14ac:dyDescent="0.3"/>
    <row r="777" s="430" customFormat="1" x14ac:dyDescent="0.3"/>
    <row r="778" s="430" customFormat="1" x14ac:dyDescent="0.3"/>
    <row r="779" s="430" customFormat="1" x14ac:dyDescent="0.3"/>
    <row r="780" s="430" customFormat="1" x14ac:dyDescent="0.3"/>
    <row r="781" s="430" customFormat="1" x14ac:dyDescent="0.3"/>
    <row r="782" s="430" customFormat="1" x14ac:dyDescent="0.3"/>
    <row r="783" s="430" customFormat="1" x14ac:dyDescent="0.3"/>
    <row r="784" s="430" customFormat="1" x14ac:dyDescent="0.3"/>
    <row r="785" s="430" customFormat="1" x14ac:dyDescent="0.3"/>
    <row r="786" s="430" customFormat="1" x14ac:dyDescent="0.3"/>
    <row r="787" s="430" customFormat="1" x14ac:dyDescent="0.3"/>
    <row r="788" s="430" customFormat="1" x14ac:dyDescent="0.3"/>
    <row r="789" s="430" customFormat="1" x14ac:dyDescent="0.3"/>
    <row r="790" s="430" customFormat="1" x14ac:dyDescent="0.3"/>
    <row r="791" s="430" customFormat="1" x14ac:dyDescent="0.3"/>
    <row r="792" s="430" customFormat="1" x14ac:dyDescent="0.3"/>
    <row r="793" s="430" customFormat="1" x14ac:dyDescent="0.3"/>
    <row r="794" s="430" customFormat="1" x14ac:dyDescent="0.3"/>
    <row r="795" s="430" customFormat="1" x14ac:dyDescent="0.3"/>
    <row r="796" s="430" customFormat="1" x14ac:dyDescent="0.3"/>
    <row r="797" s="430" customFormat="1" x14ac:dyDescent="0.3"/>
    <row r="798" s="430" customFormat="1" x14ac:dyDescent="0.3"/>
    <row r="799" s="430" customFormat="1" x14ac:dyDescent="0.3"/>
    <row r="800" s="430" customFormat="1" x14ac:dyDescent="0.3"/>
    <row r="801" s="430" customFormat="1" x14ac:dyDescent="0.3"/>
    <row r="802" s="430" customFormat="1" x14ac:dyDescent="0.3"/>
    <row r="803" s="430" customFormat="1" x14ac:dyDescent="0.3"/>
    <row r="804" s="430" customFormat="1" x14ac:dyDescent="0.3"/>
    <row r="805" s="430" customFormat="1" x14ac:dyDescent="0.3"/>
    <row r="806" s="430" customFormat="1" x14ac:dyDescent="0.3"/>
    <row r="807" s="430" customFormat="1" x14ac:dyDescent="0.3"/>
    <row r="808" s="430" customFormat="1" x14ac:dyDescent="0.3"/>
    <row r="809" s="430" customFormat="1" x14ac:dyDescent="0.3"/>
    <row r="810" s="430" customFormat="1" x14ac:dyDescent="0.3"/>
    <row r="811" s="430" customFormat="1" x14ac:dyDescent="0.3"/>
    <row r="812" s="430" customFormat="1" x14ac:dyDescent="0.3"/>
    <row r="813" s="430" customFormat="1" x14ac:dyDescent="0.3"/>
    <row r="814" s="430" customFormat="1" x14ac:dyDescent="0.3"/>
    <row r="815" s="430" customFormat="1" x14ac:dyDescent="0.3"/>
    <row r="816" s="430" customFormat="1" x14ac:dyDescent="0.3"/>
    <row r="817" s="430" customFormat="1" x14ac:dyDescent="0.3"/>
    <row r="818" s="430" customFormat="1" x14ac:dyDescent="0.3"/>
    <row r="819" s="430" customFormat="1" x14ac:dyDescent="0.3"/>
    <row r="820" s="430" customFormat="1" x14ac:dyDescent="0.3"/>
    <row r="821" s="430" customFormat="1" x14ac:dyDescent="0.3"/>
    <row r="822" s="430" customFormat="1" x14ac:dyDescent="0.3"/>
    <row r="823" s="430" customFormat="1" x14ac:dyDescent="0.3"/>
    <row r="824" s="430" customFormat="1" x14ac:dyDescent="0.3"/>
    <row r="825" s="430" customFormat="1" x14ac:dyDescent="0.3"/>
    <row r="826" s="430" customFormat="1" x14ac:dyDescent="0.3"/>
    <row r="827" s="430" customFormat="1" x14ac:dyDescent="0.3"/>
    <row r="828" s="430" customFormat="1" x14ac:dyDescent="0.3"/>
    <row r="829" s="430" customFormat="1" x14ac:dyDescent="0.3"/>
    <row r="830" s="430" customFormat="1" x14ac:dyDescent="0.3"/>
    <row r="831" s="430" customFormat="1" x14ac:dyDescent="0.3"/>
    <row r="832" s="430" customFormat="1" x14ac:dyDescent="0.3"/>
    <row r="833" s="430" customFormat="1" x14ac:dyDescent="0.3"/>
    <row r="834" s="430" customFormat="1" x14ac:dyDescent="0.3"/>
    <row r="835" s="430" customFormat="1" x14ac:dyDescent="0.3"/>
    <row r="836" s="430" customFormat="1" x14ac:dyDescent="0.3"/>
    <row r="837" s="430" customFormat="1" x14ac:dyDescent="0.3"/>
    <row r="838" s="430" customFormat="1" x14ac:dyDescent="0.3"/>
    <row r="839" s="430" customFormat="1" x14ac:dyDescent="0.3"/>
    <row r="840" s="430" customFormat="1" x14ac:dyDescent="0.3"/>
    <row r="841" s="430" customFormat="1" x14ac:dyDescent="0.3"/>
    <row r="842" s="430" customFormat="1" x14ac:dyDescent="0.3"/>
    <row r="843" s="430" customFormat="1" x14ac:dyDescent="0.3"/>
    <row r="844" s="430" customFormat="1" x14ac:dyDescent="0.3"/>
    <row r="845" s="430" customFormat="1" x14ac:dyDescent="0.3"/>
    <row r="846" s="430" customFormat="1" x14ac:dyDescent="0.3"/>
    <row r="847" s="430" customFormat="1" x14ac:dyDescent="0.3"/>
    <row r="848" s="430" customFormat="1" x14ac:dyDescent="0.3"/>
    <row r="849" s="430" customFormat="1" x14ac:dyDescent="0.3"/>
    <row r="850" s="430" customFormat="1" x14ac:dyDescent="0.3"/>
    <row r="851" s="430" customFormat="1" x14ac:dyDescent="0.3"/>
    <row r="852" s="430" customFormat="1" x14ac:dyDescent="0.3"/>
    <row r="853" s="430" customFormat="1" x14ac:dyDescent="0.3"/>
    <row r="854" s="430" customFormat="1" x14ac:dyDescent="0.3"/>
    <row r="855" s="430" customFormat="1" x14ac:dyDescent="0.3"/>
    <row r="856" s="430" customFormat="1" x14ac:dyDescent="0.3"/>
    <row r="857" s="430" customFormat="1" x14ac:dyDescent="0.3"/>
    <row r="858" s="430" customFormat="1" x14ac:dyDescent="0.3"/>
    <row r="859" s="430" customFormat="1" x14ac:dyDescent="0.3"/>
    <row r="860" s="430" customFormat="1" x14ac:dyDescent="0.3"/>
    <row r="861" s="430" customFormat="1" x14ac:dyDescent="0.3"/>
    <row r="862" s="430" customFormat="1" x14ac:dyDescent="0.3"/>
    <row r="863" s="430" customFormat="1" x14ac:dyDescent="0.3"/>
    <row r="864" s="430" customFormat="1" x14ac:dyDescent="0.3"/>
    <row r="865" s="430" customFormat="1" x14ac:dyDescent="0.3"/>
    <row r="866" s="430" customFormat="1" x14ac:dyDescent="0.3"/>
    <row r="867" s="430" customFormat="1" x14ac:dyDescent="0.3"/>
    <row r="868" s="430" customFormat="1" x14ac:dyDescent="0.3"/>
    <row r="869" s="430" customFormat="1" x14ac:dyDescent="0.3"/>
    <row r="870" s="430" customFormat="1" x14ac:dyDescent="0.3"/>
    <row r="871" s="430" customFormat="1" x14ac:dyDescent="0.3"/>
    <row r="872" s="430" customFormat="1" x14ac:dyDescent="0.3"/>
    <row r="873" s="430" customFormat="1" x14ac:dyDescent="0.3"/>
    <row r="874" s="430" customFormat="1" x14ac:dyDescent="0.3"/>
    <row r="875" s="430" customFormat="1" x14ac:dyDescent="0.3"/>
    <row r="876" s="430" customFormat="1" x14ac:dyDescent="0.3"/>
    <row r="877" s="430" customFormat="1" x14ac:dyDescent="0.3"/>
    <row r="878" s="430" customFormat="1" x14ac:dyDescent="0.3"/>
    <row r="879" s="430" customFormat="1" x14ac:dyDescent="0.3"/>
    <row r="880" s="430" customFormat="1" x14ac:dyDescent="0.3"/>
    <row r="881" s="430" customFormat="1" x14ac:dyDescent="0.3"/>
    <row r="882" s="430" customFormat="1" x14ac:dyDescent="0.3"/>
    <row r="883" s="430" customFormat="1" x14ac:dyDescent="0.3"/>
    <row r="884" s="430" customFormat="1" x14ac:dyDescent="0.3"/>
    <row r="885" s="430" customFormat="1" x14ac:dyDescent="0.3"/>
    <row r="886" s="430" customFormat="1" x14ac:dyDescent="0.3"/>
    <row r="887" s="430" customFormat="1" x14ac:dyDescent="0.3"/>
    <row r="888" s="430" customFormat="1" x14ac:dyDescent="0.3"/>
    <row r="889" s="430" customFormat="1" x14ac:dyDescent="0.3"/>
    <row r="890" s="430" customFormat="1" x14ac:dyDescent="0.3"/>
    <row r="891" s="430" customFormat="1" x14ac:dyDescent="0.3"/>
    <row r="892" s="430" customFormat="1" x14ac:dyDescent="0.3"/>
    <row r="893" s="430" customFormat="1" x14ac:dyDescent="0.3"/>
    <row r="894" s="430" customFormat="1" x14ac:dyDescent="0.3"/>
    <row r="895" s="430" customFormat="1" x14ac:dyDescent="0.3"/>
    <row r="896" s="430" customFormat="1" x14ac:dyDescent="0.3"/>
    <row r="897" s="430" customFormat="1" x14ac:dyDescent="0.3"/>
    <row r="898" s="430" customFormat="1" x14ac:dyDescent="0.3"/>
    <row r="899" s="430" customFormat="1" x14ac:dyDescent="0.3"/>
    <row r="900" s="430" customFormat="1" x14ac:dyDescent="0.3"/>
    <row r="901" s="430" customFormat="1" x14ac:dyDescent="0.3"/>
    <row r="902" s="430" customFormat="1" x14ac:dyDescent="0.3"/>
    <row r="903" s="430" customFormat="1" x14ac:dyDescent="0.3"/>
    <row r="904" s="430" customFormat="1" x14ac:dyDescent="0.3"/>
    <row r="905" s="430" customFormat="1" x14ac:dyDescent="0.3"/>
    <row r="906" s="430" customFormat="1" x14ac:dyDescent="0.3"/>
    <row r="907" s="430" customFormat="1" x14ac:dyDescent="0.3"/>
    <row r="908" s="430" customFormat="1" x14ac:dyDescent="0.3"/>
    <row r="909" s="430" customFormat="1" x14ac:dyDescent="0.3"/>
    <row r="910" s="430" customFormat="1" x14ac:dyDescent="0.3"/>
    <row r="911" s="430" customFormat="1" x14ac:dyDescent="0.3"/>
    <row r="912" s="430" customFormat="1" x14ac:dyDescent="0.3"/>
    <row r="913" s="430" customFormat="1" x14ac:dyDescent="0.3"/>
    <row r="914" s="430" customFormat="1" x14ac:dyDescent="0.3"/>
    <row r="915" s="430" customFormat="1" x14ac:dyDescent="0.3"/>
    <row r="916" s="430" customFormat="1" x14ac:dyDescent="0.3"/>
    <row r="917" s="430" customFormat="1" x14ac:dyDescent="0.3"/>
    <row r="918" s="430" customFormat="1" x14ac:dyDescent="0.3"/>
    <row r="919" s="430" customFormat="1" x14ac:dyDescent="0.3"/>
    <row r="920" s="430" customFormat="1" x14ac:dyDescent="0.3"/>
    <row r="921" s="430" customFormat="1" x14ac:dyDescent="0.3"/>
    <row r="922" s="430" customFormat="1" x14ac:dyDescent="0.3"/>
    <row r="923" s="430" customFormat="1" x14ac:dyDescent="0.3"/>
    <row r="924" s="430" customFormat="1" x14ac:dyDescent="0.3"/>
    <row r="925" s="430" customFormat="1" x14ac:dyDescent="0.3"/>
    <row r="926" s="430" customFormat="1" x14ac:dyDescent="0.3"/>
    <row r="927" s="430" customFormat="1" x14ac:dyDescent="0.3"/>
    <row r="928" s="430" customFormat="1" x14ac:dyDescent="0.3"/>
    <row r="929" s="430" customFormat="1" x14ac:dyDescent="0.3"/>
    <row r="930" s="430" customFormat="1" x14ac:dyDescent="0.3"/>
    <row r="931" s="430" customFormat="1" x14ac:dyDescent="0.3"/>
    <row r="932" s="430" customFormat="1" x14ac:dyDescent="0.3"/>
    <row r="933" s="430" customFormat="1" x14ac:dyDescent="0.3"/>
    <row r="934" s="430" customFormat="1" x14ac:dyDescent="0.3"/>
    <row r="935" s="430" customFormat="1" x14ac:dyDescent="0.3"/>
    <row r="936" s="430" customFormat="1" x14ac:dyDescent="0.3"/>
    <row r="937" s="430" customFormat="1" x14ac:dyDescent="0.3"/>
    <row r="938" s="430" customFormat="1" x14ac:dyDescent="0.3"/>
    <row r="939" s="430" customFormat="1" x14ac:dyDescent="0.3"/>
    <row r="940" s="430" customFormat="1" x14ac:dyDescent="0.3"/>
    <row r="941" s="430" customFormat="1" x14ac:dyDescent="0.3"/>
    <row r="942" s="430" customFormat="1" x14ac:dyDescent="0.3"/>
    <row r="943" s="430" customFormat="1" x14ac:dyDescent="0.3"/>
    <row r="944" s="430" customFormat="1" x14ac:dyDescent="0.3"/>
    <row r="945" s="430" customFormat="1" x14ac:dyDescent="0.3"/>
    <row r="946" s="430" customFormat="1" x14ac:dyDescent="0.3"/>
    <row r="947" s="430" customFormat="1" x14ac:dyDescent="0.3"/>
    <row r="948" s="430" customFormat="1" x14ac:dyDescent="0.3"/>
    <row r="949" s="430" customFormat="1" x14ac:dyDescent="0.3"/>
    <row r="950" s="430" customFormat="1" x14ac:dyDescent="0.3"/>
    <row r="951" s="430" customFormat="1" x14ac:dyDescent="0.3"/>
    <row r="952" s="430" customFormat="1" x14ac:dyDescent="0.3"/>
    <row r="953" s="430" customFormat="1" x14ac:dyDescent="0.3"/>
    <row r="954" s="430" customFormat="1" x14ac:dyDescent="0.3"/>
    <row r="955" s="430" customFormat="1" x14ac:dyDescent="0.3"/>
    <row r="956" s="430" customFormat="1" x14ac:dyDescent="0.3"/>
    <row r="957" s="430" customFormat="1" x14ac:dyDescent="0.3"/>
    <row r="958" s="430" customFormat="1" x14ac:dyDescent="0.3"/>
    <row r="959" s="430" customFormat="1" x14ac:dyDescent="0.3"/>
    <row r="960" s="430" customFormat="1" x14ac:dyDescent="0.3"/>
    <row r="961" s="430" customFormat="1" x14ac:dyDescent="0.3"/>
    <row r="962" s="430" customFormat="1" x14ac:dyDescent="0.3"/>
    <row r="963" s="430" customFormat="1" x14ac:dyDescent="0.3"/>
    <row r="964" s="430" customFormat="1" x14ac:dyDescent="0.3"/>
    <row r="965" s="430" customFormat="1" x14ac:dyDescent="0.3"/>
    <row r="966" s="430" customFormat="1" x14ac:dyDescent="0.3"/>
    <row r="967" s="430" customFormat="1" x14ac:dyDescent="0.3"/>
    <row r="968" s="430" customFormat="1" x14ac:dyDescent="0.3"/>
    <row r="969" s="430" customFormat="1" x14ac:dyDescent="0.3"/>
    <row r="970" s="430" customFormat="1" x14ac:dyDescent="0.3"/>
    <row r="971" s="430" customFormat="1" x14ac:dyDescent="0.3"/>
    <row r="972" s="430" customFormat="1" x14ac:dyDescent="0.3"/>
    <row r="973" s="430" customFormat="1" x14ac:dyDescent="0.3"/>
    <row r="974" s="430" customFormat="1" x14ac:dyDescent="0.3"/>
    <row r="975" s="430" customFormat="1" x14ac:dyDescent="0.3"/>
    <row r="976" s="430" customFormat="1" x14ac:dyDescent="0.3"/>
    <row r="977" s="430" customFormat="1" x14ac:dyDescent="0.3"/>
    <row r="978" s="430" customFormat="1" x14ac:dyDescent="0.3"/>
    <row r="979" s="430" customFormat="1" x14ac:dyDescent="0.3"/>
    <row r="980" s="430" customFormat="1" x14ac:dyDescent="0.3"/>
    <row r="981" s="430" customFormat="1" x14ac:dyDescent="0.3"/>
    <row r="982" s="430" customFormat="1" x14ac:dyDescent="0.3"/>
    <row r="983" s="430" customFormat="1" x14ac:dyDescent="0.3"/>
    <row r="984" s="430" customFormat="1" x14ac:dyDescent="0.3"/>
    <row r="985" s="430" customFormat="1" x14ac:dyDescent="0.3"/>
    <row r="986" s="430" customFormat="1" x14ac:dyDescent="0.3"/>
    <row r="987" s="430" customFormat="1" x14ac:dyDescent="0.3"/>
    <row r="988" s="430" customFormat="1" x14ac:dyDescent="0.3"/>
    <row r="989" s="430" customFormat="1" x14ac:dyDescent="0.3"/>
    <row r="990" s="430" customFormat="1" x14ac:dyDescent="0.3"/>
    <row r="991" s="430" customFormat="1" x14ac:dyDescent="0.3"/>
    <row r="992" s="430" customFormat="1" x14ac:dyDescent="0.3"/>
    <row r="993" s="430" customFormat="1" x14ac:dyDescent="0.3"/>
    <row r="994" s="430" customFormat="1" x14ac:dyDescent="0.3"/>
    <row r="995" s="430" customFormat="1" x14ac:dyDescent="0.3"/>
    <row r="996" s="430" customFormat="1" x14ac:dyDescent="0.3"/>
    <row r="997" s="430" customFormat="1" x14ac:dyDescent="0.3"/>
    <row r="998" s="430" customFormat="1" x14ac:dyDescent="0.3"/>
    <row r="999" s="430" customFormat="1" x14ac:dyDescent="0.3"/>
    <row r="1000" s="430" customFormat="1" x14ac:dyDescent="0.3"/>
    <row r="1001" s="430" customFormat="1" x14ac:dyDescent="0.3"/>
    <row r="1002" s="430" customFormat="1" x14ac:dyDescent="0.3"/>
    <row r="1003" s="430" customFormat="1" x14ac:dyDescent="0.3"/>
    <row r="1004" s="430" customFormat="1" x14ac:dyDescent="0.3"/>
    <row r="1005" s="430" customFormat="1" x14ac:dyDescent="0.3"/>
    <row r="1006" s="430" customFormat="1" x14ac:dyDescent="0.3"/>
    <row r="1007" s="430" customFormat="1" x14ac:dyDescent="0.3"/>
    <row r="1008" s="430" customFormat="1" x14ac:dyDescent="0.3"/>
    <row r="1009" s="430" customFormat="1" x14ac:dyDescent="0.3"/>
    <row r="1010" s="430" customFormat="1" x14ac:dyDescent="0.3"/>
    <row r="1011" s="430" customFormat="1" x14ac:dyDescent="0.3"/>
    <row r="1012" s="430" customFormat="1" x14ac:dyDescent="0.3"/>
    <row r="1013" s="430" customFormat="1" x14ac:dyDescent="0.3"/>
    <row r="1014" s="430" customFormat="1" x14ac:dyDescent="0.3"/>
    <row r="1015" s="430" customFormat="1" x14ac:dyDescent="0.3"/>
    <row r="1016" s="430" customFormat="1" x14ac:dyDescent="0.3"/>
    <row r="1017" s="430" customFormat="1" x14ac:dyDescent="0.3"/>
    <row r="1018" s="430" customFormat="1" x14ac:dyDescent="0.3"/>
    <row r="1019" s="430" customFormat="1" x14ac:dyDescent="0.3"/>
    <row r="1020" s="430" customFormat="1" x14ac:dyDescent="0.3"/>
    <row r="1021" s="430" customFormat="1" x14ac:dyDescent="0.3"/>
    <row r="1022" s="430" customFormat="1" x14ac:dyDescent="0.3"/>
    <row r="1023" s="430" customFormat="1" x14ac:dyDescent="0.3"/>
    <row r="1024" s="430" customFormat="1" x14ac:dyDescent="0.3"/>
    <row r="1025" s="430" customFormat="1" x14ac:dyDescent="0.3"/>
    <row r="1026" s="430" customFormat="1" x14ac:dyDescent="0.3"/>
    <row r="1027" s="430" customFormat="1" x14ac:dyDescent="0.3"/>
    <row r="1028" s="430" customFormat="1" x14ac:dyDescent="0.3"/>
    <row r="1029" s="430" customFormat="1" x14ac:dyDescent="0.3"/>
    <row r="1030" s="430" customFormat="1" x14ac:dyDescent="0.3"/>
    <row r="1031" s="430" customFormat="1" x14ac:dyDescent="0.3"/>
    <row r="1032" s="430" customFormat="1" x14ac:dyDescent="0.3"/>
    <row r="1033" s="430" customFormat="1" x14ac:dyDescent="0.3"/>
    <row r="1034" s="430" customFormat="1" x14ac:dyDescent="0.3"/>
    <row r="1035" s="430" customFormat="1" x14ac:dyDescent="0.3"/>
    <row r="1036" s="430" customFormat="1" x14ac:dyDescent="0.3"/>
    <row r="1037" s="430" customFormat="1" x14ac:dyDescent="0.3"/>
    <row r="1038" s="430" customFormat="1" x14ac:dyDescent="0.3"/>
    <row r="1039" s="430" customFormat="1" x14ac:dyDescent="0.3"/>
    <row r="1040" s="430" customFormat="1" x14ac:dyDescent="0.3"/>
    <row r="1041" s="430" customFormat="1" x14ac:dyDescent="0.3"/>
    <row r="1042" s="430" customFormat="1" x14ac:dyDescent="0.3"/>
    <row r="1043" s="430" customFormat="1" x14ac:dyDescent="0.3"/>
    <row r="1044" s="430" customFormat="1" x14ac:dyDescent="0.3"/>
    <row r="1045" s="430" customFormat="1" x14ac:dyDescent="0.3"/>
    <row r="1046" s="430" customFormat="1" x14ac:dyDescent="0.3"/>
    <row r="1047" s="430" customFormat="1" x14ac:dyDescent="0.3"/>
    <row r="1048" s="430" customFormat="1" x14ac:dyDescent="0.3"/>
    <row r="1049" s="430" customFormat="1" x14ac:dyDescent="0.3"/>
    <row r="1050" s="430" customFormat="1" x14ac:dyDescent="0.3"/>
    <row r="1051" s="430" customFormat="1" x14ac:dyDescent="0.3"/>
    <row r="1052" s="430" customFormat="1" x14ac:dyDescent="0.3"/>
    <row r="1053" s="430" customFormat="1" x14ac:dyDescent="0.3"/>
    <row r="1054" s="430" customFormat="1" x14ac:dyDescent="0.3"/>
    <row r="1055" s="430" customFormat="1" x14ac:dyDescent="0.3"/>
    <row r="1056" s="430" customFormat="1" x14ac:dyDescent="0.3"/>
    <row r="1057" s="430" customFormat="1" x14ac:dyDescent="0.3"/>
    <row r="1058" s="430" customFormat="1" x14ac:dyDescent="0.3"/>
    <row r="1059" s="430" customFormat="1" x14ac:dyDescent="0.3"/>
    <row r="1060" s="430" customFormat="1" x14ac:dyDescent="0.3"/>
    <row r="1061" s="430" customFormat="1" x14ac:dyDescent="0.3"/>
    <row r="1062" s="430" customFormat="1" x14ac:dyDescent="0.3"/>
    <row r="1063" s="430" customFormat="1" x14ac:dyDescent="0.3"/>
    <row r="1064" s="430" customFormat="1" x14ac:dyDescent="0.3"/>
    <row r="1065" s="430" customFormat="1" x14ac:dyDescent="0.3"/>
    <row r="1066" s="430" customFormat="1" x14ac:dyDescent="0.3"/>
    <row r="1067" s="430" customFormat="1" x14ac:dyDescent="0.3"/>
    <row r="1068" s="430" customFormat="1" x14ac:dyDescent="0.3"/>
    <row r="1069" s="430" customFormat="1" x14ac:dyDescent="0.3"/>
    <row r="1070" s="430" customFormat="1" x14ac:dyDescent="0.3"/>
    <row r="1071" s="430" customFormat="1" x14ac:dyDescent="0.3"/>
    <row r="1072" s="430" customFormat="1" x14ac:dyDescent="0.3"/>
    <row r="1073" s="430" customFormat="1" x14ac:dyDescent="0.3"/>
    <row r="1074" s="430" customFormat="1" x14ac:dyDescent="0.3"/>
    <row r="1075" s="430" customFormat="1" x14ac:dyDescent="0.3"/>
    <row r="1076" s="430" customFormat="1" x14ac:dyDescent="0.3"/>
    <row r="1077" s="430" customFormat="1" x14ac:dyDescent="0.3"/>
    <row r="1078" s="430" customFormat="1" x14ac:dyDescent="0.3"/>
    <row r="1079" s="430" customFormat="1" x14ac:dyDescent="0.3"/>
    <row r="1080" s="430" customFormat="1" x14ac:dyDescent="0.3"/>
    <row r="1081" s="430" customFormat="1" x14ac:dyDescent="0.3"/>
    <row r="1082" s="430" customFormat="1" x14ac:dyDescent="0.3"/>
    <row r="1083" s="430" customFormat="1" x14ac:dyDescent="0.3"/>
    <row r="1084" s="430" customFormat="1" x14ac:dyDescent="0.3"/>
    <row r="1085" s="430" customFormat="1" x14ac:dyDescent="0.3"/>
    <row r="1086" s="430" customFormat="1" x14ac:dyDescent="0.3"/>
    <row r="1087" s="430" customFormat="1" x14ac:dyDescent="0.3"/>
    <row r="1088" s="430" customFormat="1" x14ac:dyDescent="0.3"/>
    <row r="1089" s="430" customFormat="1" x14ac:dyDescent="0.3"/>
    <row r="1090" s="430" customFormat="1" x14ac:dyDescent="0.3"/>
    <row r="1091" s="430" customFormat="1" x14ac:dyDescent="0.3"/>
    <row r="1092" s="430" customFormat="1" x14ac:dyDescent="0.3"/>
    <row r="1093" s="430" customFormat="1" x14ac:dyDescent="0.3"/>
    <row r="1094" s="430" customFormat="1" x14ac:dyDescent="0.3"/>
    <row r="1095" s="430" customFormat="1" x14ac:dyDescent="0.3"/>
    <row r="1096" s="430" customFormat="1" x14ac:dyDescent="0.3"/>
    <row r="1097" s="430" customFormat="1" x14ac:dyDescent="0.3"/>
    <row r="1098" s="430" customFormat="1" x14ac:dyDescent="0.3"/>
    <row r="1099" s="430" customFormat="1" x14ac:dyDescent="0.3"/>
    <row r="1100" s="430" customFormat="1" x14ac:dyDescent="0.3"/>
    <row r="1101" s="430" customFormat="1" x14ac:dyDescent="0.3"/>
    <row r="1102" s="430" customFormat="1" x14ac:dyDescent="0.3"/>
    <row r="1103" s="430" customFormat="1" x14ac:dyDescent="0.3"/>
    <row r="1104" s="430" customFormat="1" x14ac:dyDescent="0.3"/>
    <row r="1105" s="430" customFormat="1" x14ac:dyDescent="0.3"/>
    <row r="1106" s="430" customFormat="1" x14ac:dyDescent="0.3"/>
    <row r="1107" s="430" customFormat="1" x14ac:dyDescent="0.3"/>
    <row r="1108" s="430" customFormat="1" x14ac:dyDescent="0.3"/>
    <row r="1109" s="430" customFormat="1" x14ac:dyDescent="0.3"/>
    <row r="1110" s="430" customFormat="1" x14ac:dyDescent="0.3"/>
    <row r="1111" s="430" customFormat="1" x14ac:dyDescent="0.3"/>
    <row r="1112" s="430" customFormat="1" x14ac:dyDescent="0.3"/>
    <row r="1113" s="430" customFormat="1" x14ac:dyDescent="0.3"/>
    <row r="1114" s="430" customFormat="1" x14ac:dyDescent="0.3"/>
    <row r="1115" s="430" customFormat="1" x14ac:dyDescent="0.3"/>
    <row r="1116" s="430" customFormat="1" x14ac:dyDescent="0.3"/>
    <row r="1117" s="430" customFormat="1" x14ac:dyDescent="0.3"/>
    <row r="1118" s="430" customFormat="1" x14ac:dyDescent="0.3"/>
    <row r="1119" s="430" customFormat="1" x14ac:dyDescent="0.3"/>
    <row r="1120" s="430" customFormat="1" x14ac:dyDescent="0.3"/>
    <row r="1121" s="430" customFormat="1" x14ac:dyDescent="0.3"/>
    <row r="1122" s="430" customFormat="1" x14ac:dyDescent="0.3"/>
    <row r="1123" s="430" customFormat="1" x14ac:dyDescent="0.3"/>
    <row r="1124" s="430" customFormat="1" x14ac:dyDescent="0.3"/>
    <row r="1125" s="430" customFormat="1" x14ac:dyDescent="0.3"/>
    <row r="1126" s="430" customFormat="1" x14ac:dyDescent="0.3"/>
    <row r="1127" s="430" customFormat="1" x14ac:dyDescent="0.3"/>
    <row r="1128" s="430" customFormat="1" x14ac:dyDescent="0.3"/>
    <row r="1129" s="430" customFormat="1" x14ac:dyDescent="0.3"/>
    <row r="1130" s="430" customFormat="1" x14ac:dyDescent="0.3"/>
    <row r="1131" s="430" customFormat="1" x14ac:dyDescent="0.3"/>
    <row r="1132" s="430" customFormat="1" x14ac:dyDescent="0.3"/>
    <row r="1133" s="430" customFormat="1" x14ac:dyDescent="0.3"/>
    <row r="1134" s="430" customFormat="1" x14ac:dyDescent="0.3"/>
    <row r="1135" s="430" customFormat="1" x14ac:dyDescent="0.3"/>
    <row r="1136" s="430" customFormat="1" x14ac:dyDescent="0.3"/>
    <row r="1137" s="430" customFormat="1" x14ac:dyDescent="0.3"/>
    <row r="1138" s="430" customFormat="1" x14ac:dyDescent="0.3"/>
    <row r="1139" s="430" customFormat="1" x14ac:dyDescent="0.3"/>
    <row r="1140" s="430" customFormat="1" x14ac:dyDescent="0.3"/>
    <row r="1141" s="430" customFormat="1" x14ac:dyDescent="0.3"/>
    <row r="1142" s="430" customFormat="1" x14ac:dyDescent="0.3"/>
    <row r="1143" s="430" customFormat="1" x14ac:dyDescent="0.3"/>
    <row r="1144" s="430" customFormat="1" x14ac:dyDescent="0.3"/>
    <row r="1145" s="430" customFormat="1" x14ac:dyDescent="0.3"/>
    <row r="1146" s="430" customFormat="1" x14ac:dyDescent="0.3"/>
    <row r="1147" s="430" customFormat="1" x14ac:dyDescent="0.3"/>
    <row r="1148" s="430" customFormat="1" x14ac:dyDescent="0.3"/>
    <row r="1149" s="430" customFormat="1" x14ac:dyDescent="0.3"/>
    <row r="1150" s="430" customFormat="1" x14ac:dyDescent="0.3"/>
    <row r="1151" s="430" customFormat="1" x14ac:dyDescent="0.3"/>
    <row r="1152" s="430" customFormat="1" x14ac:dyDescent="0.3"/>
    <row r="1153" s="430" customFormat="1" x14ac:dyDescent="0.3"/>
    <row r="1154" s="430" customFormat="1" x14ac:dyDescent="0.3"/>
    <row r="1155" s="430" customFormat="1" x14ac:dyDescent="0.3"/>
    <row r="1156" s="430" customFormat="1" x14ac:dyDescent="0.3"/>
    <row r="1157" s="430" customFormat="1" x14ac:dyDescent="0.3"/>
    <row r="1158" s="430" customFormat="1" x14ac:dyDescent="0.3"/>
    <row r="1159" s="430" customFormat="1" x14ac:dyDescent="0.3"/>
    <row r="1160" s="430" customFormat="1" x14ac:dyDescent="0.3"/>
    <row r="1161" s="430" customFormat="1" x14ac:dyDescent="0.3"/>
    <row r="1162" s="430" customFormat="1" x14ac:dyDescent="0.3"/>
    <row r="1163" s="430" customFormat="1" x14ac:dyDescent="0.3"/>
    <row r="1164" s="430" customFormat="1" x14ac:dyDescent="0.3"/>
    <row r="1165" s="430" customFormat="1" x14ac:dyDescent="0.3"/>
    <row r="1166" s="430" customFormat="1" x14ac:dyDescent="0.3"/>
    <row r="1167" s="430" customFormat="1" x14ac:dyDescent="0.3"/>
    <row r="1168" s="430" customFormat="1" x14ac:dyDescent="0.3"/>
    <row r="1169" s="430" customFormat="1" x14ac:dyDescent="0.3"/>
    <row r="1170" s="430" customFormat="1" x14ac:dyDescent="0.3"/>
    <row r="1171" s="430" customFormat="1" x14ac:dyDescent="0.3"/>
    <row r="1172" s="430" customFormat="1" x14ac:dyDescent="0.3"/>
    <row r="1173" s="430" customFormat="1" x14ac:dyDescent="0.3"/>
    <row r="1174" s="430" customFormat="1" x14ac:dyDescent="0.3"/>
    <row r="1175" s="430" customFormat="1" x14ac:dyDescent="0.3"/>
    <row r="1176" s="430" customFormat="1" x14ac:dyDescent="0.3"/>
    <row r="1177" s="430" customFormat="1" x14ac:dyDescent="0.3"/>
    <row r="1178" s="430" customFormat="1" x14ac:dyDescent="0.3"/>
    <row r="1179" s="430" customFormat="1" x14ac:dyDescent="0.3"/>
    <row r="1180" s="430" customFormat="1" x14ac:dyDescent="0.3"/>
    <row r="1181" s="430" customFormat="1" x14ac:dyDescent="0.3"/>
    <row r="1182" s="430" customFormat="1" x14ac:dyDescent="0.3"/>
    <row r="1183" s="430" customFormat="1" x14ac:dyDescent="0.3"/>
    <row r="1184" s="430" customFormat="1" x14ac:dyDescent="0.3"/>
    <row r="1185" s="430" customFormat="1" x14ac:dyDescent="0.3"/>
    <row r="1186" s="430" customFormat="1" x14ac:dyDescent="0.3"/>
    <row r="1187" s="430" customFormat="1" x14ac:dyDescent="0.3"/>
    <row r="1188" s="430" customFormat="1" x14ac:dyDescent="0.3"/>
    <row r="1189" s="430" customFormat="1" x14ac:dyDescent="0.3"/>
    <row r="1190" s="430" customFormat="1" x14ac:dyDescent="0.3"/>
    <row r="1191" s="430" customFormat="1" x14ac:dyDescent="0.3"/>
    <row r="1192" s="430" customFormat="1" x14ac:dyDescent="0.3"/>
    <row r="1193" s="430" customFormat="1" x14ac:dyDescent="0.3"/>
    <row r="1194" s="430" customFormat="1" x14ac:dyDescent="0.3"/>
    <row r="1195" s="430" customFormat="1" x14ac:dyDescent="0.3"/>
    <row r="1196" s="430" customFormat="1" x14ac:dyDescent="0.3"/>
    <row r="1197" s="430" customFormat="1" x14ac:dyDescent="0.3"/>
    <row r="1198" s="430" customFormat="1" x14ac:dyDescent="0.3"/>
    <row r="1199" s="430" customFormat="1" x14ac:dyDescent="0.3"/>
    <row r="1200" s="430" customFormat="1" x14ac:dyDescent="0.3"/>
    <row r="1201" s="430" customFormat="1" x14ac:dyDescent="0.3"/>
    <row r="1202" s="430" customFormat="1" x14ac:dyDescent="0.3"/>
    <row r="1203" s="430" customFormat="1" x14ac:dyDescent="0.3"/>
    <row r="1204" s="430" customFormat="1" x14ac:dyDescent="0.3"/>
    <row r="1205" s="430" customFormat="1" x14ac:dyDescent="0.3"/>
    <row r="1206" s="430" customFormat="1" x14ac:dyDescent="0.3"/>
    <row r="1207" s="430" customFormat="1" x14ac:dyDescent="0.3"/>
    <row r="1208" s="430" customFormat="1" x14ac:dyDescent="0.3"/>
    <row r="1209" s="430" customFormat="1" x14ac:dyDescent="0.3"/>
    <row r="1210" s="430" customFormat="1" x14ac:dyDescent="0.3"/>
    <row r="1211" s="430" customFormat="1" x14ac:dyDescent="0.3"/>
    <row r="1212" s="430" customFormat="1" x14ac:dyDescent="0.3"/>
    <row r="1213" s="430" customFormat="1" x14ac:dyDescent="0.3"/>
    <row r="1214" s="430" customFormat="1" x14ac:dyDescent="0.3"/>
    <row r="1215" s="430" customFormat="1" x14ac:dyDescent="0.3"/>
    <row r="1216" s="430" customFormat="1" x14ac:dyDescent="0.3"/>
    <row r="1217" s="430" customFormat="1" x14ac:dyDescent="0.3"/>
    <row r="1218" s="430" customFormat="1" x14ac:dyDescent="0.3"/>
    <row r="1219" s="430" customFormat="1" x14ac:dyDescent="0.3"/>
    <row r="1220" s="430" customFormat="1" x14ac:dyDescent="0.3"/>
    <row r="1221" s="430" customFormat="1" x14ac:dyDescent="0.3"/>
    <row r="1222" s="430" customFormat="1" x14ac:dyDescent="0.3"/>
    <row r="1223" s="430" customFormat="1" x14ac:dyDescent="0.3"/>
    <row r="1224" s="430" customFormat="1" x14ac:dyDescent="0.3"/>
    <row r="1225" s="430" customFormat="1" x14ac:dyDescent="0.3"/>
    <row r="1226" s="430" customFormat="1" x14ac:dyDescent="0.3"/>
    <row r="1227" s="430" customFormat="1" x14ac:dyDescent="0.3"/>
    <row r="1228" s="430" customFormat="1" x14ac:dyDescent="0.3"/>
    <row r="1229" s="430" customFormat="1" x14ac:dyDescent="0.3"/>
    <row r="1230" s="430" customFormat="1" x14ac:dyDescent="0.3"/>
    <row r="1231" s="430" customFormat="1" x14ac:dyDescent="0.3"/>
    <row r="1232" s="430" customFormat="1" x14ac:dyDescent="0.3"/>
    <row r="1233" s="430" customFormat="1" x14ac:dyDescent="0.3"/>
    <row r="1234" s="430" customFormat="1" x14ac:dyDescent="0.3"/>
    <row r="1235" s="430" customFormat="1" x14ac:dyDescent="0.3"/>
    <row r="1236" s="430" customFormat="1" x14ac:dyDescent="0.3"/>
    <row r="1237" s="430" customFormat="1" x14ac:dyDescent="0.3"/>
    <row r="1238" s="430" customFormat="1" x14ac:dyDescent="0.3"/>
    <row r="1239" s="430" customFormat="1" x14ac:dyDescent="0.3"/>
    <row r="1240" s="430" customFormat="1" x14ac:dyDescent="0.3"/>
    <row r="1241" s="430" customFormat="1" x14ac:dyDescent="0.3"/>
    <row r="1242" s="430" customFormat="1" x14ac:dyDescent="0.3"/>
    <row r="1243" s="430" customFormat="1" x14ac:dyDescent="0.3"/>
    <row r="1244" s="430" customFormat="1" x14ac:dyDescent="0.3"/>
    <row r="1245" s="430" customFormat="1" x14ac:dyDescent="0.3"/>
    <row r="1246" s="430" customFormat="1" x14ac:dyDescent="0.3"/>
    <row r="1247" s="430" customFormat="1" x14ac:dyDescent="0.3"/>
    <row r="1248" s="430" customFormat="1" x14ac:dyDescent="0.3"/>
    <row r="1249" s="430" customFormat="1" x14ac:dyDescent="0.3"/>
    <row r="1250" s="430" customFormat="1" x14ac:dyDescent="0.3"/>
    <row r="1251" s="430" customFormat="1" x14ac:dyDescent="0.3"/>
    <row r="1252" s="430" customFormat="1" x14ac:dyDescent="0.3"/>
    <row r="1253" s="430" customFormat="1" x14ac:dyDescent="0.3"/>
    <row r="1254" s="430" customFormat="1" x14ac:dyDescent="0.3"/>
    <row r="1255" s="430" customFormat="1" x14ac:dyDescent="0.3"/>
    <row r="1256" s="430" customFormat="1" x14ac:dyDescent="0.3"/>
    <row r="1257" s="430" customFormat="1" x14ac:dyDescent="0.3"/>
    <row r="1258" s="430" customFormat="1" x14ac:dyDescent="0.3"/>
    <row r="1259" s="430" customFormat="1" x14ac:dyDescent="0.3"/>
    <row r="1260" s="430" customFormat="1" x14ac:dyDescent="0.3"/>
    <row r="1261" s="430" customFormat="1" x14ac:dyDescent="0.3"/>
    <row r="1262" s="430" customFormat="1" x14ac:dyDescent="0.3"/>
    <row r="1263" s="430" customFormat="1" x14ac:dyDescent="0.3"/>
    <row r="1264" s="430" customFormat="1" x14ac:dyDescent="0.3"/>
    <row r="1265" s="430" customFormat="1" x14ac:dyDescent="0.3"/>
    <row r="1266" s="430" customFormat="1" x14ac:dyDescent="0.3"/>
    <row r="1267" s="430" customFormat="1" x14ac:dyDescent="0.3"/>
    <row r="1268" s="430" customFormat="1" x14ac:dyDescent="0.3"/>
    <row r="1269" s="430" customFormat="1" x14ac:dyDescent="0.3"/>
    <row r="1270" s="430" customFormat="1" x14ac:dyDescent="0.3"/>
    <row r="1271" s="430" customFormat="1" x14ac:dyDescent="0.3"/>
    <row r="1272" s="430" customFormat="1" x14ac:dyDescent="0.3"/>
    <row r="1273" s="430" customFormat="1" x14ac:dyDescent="0.3"/>
    <row r="1274" s="430" customFormat="1" x14ac:dyDescent="0.3"/>
    <row r="1275" s="430" customFormat="1" x14ac:dyDescent="0.3"/>
    <row r="1276" s="430" customFormat="1" x14ac:dyDescent="0.3"/>
    <row r="1277" s="430" customFormat="1" x14ac:dyDescent="0.3"/>
    <row r="1278" s="430" customFormat="1" x14ac:dyDescent="0.3"/>
    <row r="1279" s="430" customFormat="1" x14ac:dyDescent="0.3"/>
    <row r="1280" s="430" customFormat="1" x14ac:dyDescent="0.3"/>
    <row r="1281" s="430" customFormat="1" x14ac:dyDescent="0.3"/>
    <row r="1282" s="430" customFormat="1" x14ac:dyDescent="0.3"/>
    <row r="1283" s="430" customFormat="1" x14ac:dyDescent="0.3"/>
    <row r="1284" s="430" customFormat="1" x14ac:dyDescent="0.3"/>
    <row r="1285" s="430" customFormat="1" x14ac:dyDescent="0.3"/>
    <row r="1286" s="430" customFormat="1" x14ac:dyDescent="0.3"/>
    <row r="1287" s="430" customFormat="1" x14ac:dyDescent="0.3"/>
    <row r="1288" s="430" customFormat="1" x14ac:dyDescent="0.3"/>
    <row r="1289" s="430" customFormat="1" x14ac:dyDescent="0.3"/>
    <row r="1290" s="430" customFormat="1" x14ac:dyDescent="0.3"/>
    <row r="1291" s="430" customFormat="1" x14ac:dyDescent="0.3"/>
    <row r="1292" s="430" customFormat="1" x14ac:dyDescent="0.3"/>
    <row r="1293" s="430" customFormat="1" x14ac:dyDescent="0.3"/>
    <row r="1294" s="430" customFormat="1" x14ac:dyDescent="0.3"/>
    <row r="1295" s="430" customFormat="1" x14ac:dyDescent="0.3"/>
    <row r="1296" s="430" customFormat="1" x14ac:dyDescent="0.3"/>
    <row r="1297" s="430" customFormat="1" x14ac:dyDescent="0.3"/>
    <row r="1298" s="430" customFormat="1" x14ac:dyDescent="0.3"/>
    <row r="1299" s="430" customFormat="1" x14ac:dyDescent="0.3"/>
    <row r="1300" s="430" customFormat="1" x14ac:dyDescent="0.3"/>
    <row r="1301" s="430" customFormat="1" x14ac:dyDescent="0.3"/>
    <row r="1302" s="430" customFormat="1" x14ac:dyDescent="0.3"/>
    <row r="1303" s="430" customFormat="1" x14ac:dyDescent="0.3"/>
    <row r="1304" s="430" customFormat="1" x14ac:dyDescent="0.3"/>
    <row r="1305" s="430" customFormat="1" x14ac:dyDescent="0.3"/>
    <row r="1306" s="430" customFormat="1" x14ac:dyDescent="0.3"/>
    <row r="1307" s="430" customFormat="1" x14ac:dyDescent="0.3"/>
    <row r="1308" s="430" customFormat="1" x14ac:dyDescent="0.3"/>
    <row r="1309" s="430" customFormat="1" x14ac:dyDescent="0.3"/>
    <row r="1310" s="430" customFormat="1" x14ac:dyDescent="0.3"/>
    <row r="1311" s="430" customFormat="1" x14ac:dyDescent="0.3"/>
    <row r="1312" s="430" customFormat="1" x14ac:dyDescent="0.3"/>
    <row r="1313" s="430" customFormat="1" x14ac:dyDescent="0.3"/>
    <row r="1314" s="430" customFormat="1" x14ac:dyDescent="0.3"/>
    <row r="1315" s="430" customFormat="1" x14ac:dyDescent="0.3"/>
    <row r="1316" s="430" customFormat="1" x14ac:dyDescent="0.3"/>
    <row r="1317" s="430" customFormat="1" x14ac:dyDescent="0.3"/>
    <row r="1318" s="430" customFormat="1" x14ac:dyDescent="0.3"/>
    <row r="1319" s="430" customFormat="1" x14ac:dyDescent="0.3"/>
    <row r="1320" s="430" customFormat="1" x14ac:dyDescent="0.3"/>
    <row r="1321" s="430" customFormat="1" x14ac:dyDescent="0.3"/>
    <row r="1322" s="430" customFormat="1" x14ac:dyDescent="0.3"/>
    <row r="1323" s="430" customFormat="1" x14ac:dyDescent="0.3"/>
    <row r="1324" s="430" customFormat="1" x14ac:dyDescent="0.3"/>
    <row r="1325" s="430" customFormat="1" x14ac:dyDescent="0.3"/>
    <row r="1326" s="430" customFormat="1" x14ac:dyDescent="0.3"/>
    <row r="1327" s="430" customFormat="1" x14ac:dyDescent="0.3"/>
    <row r="1328" s="430" customFormat="1" x14ac:dyDescent="0.3"/>
    <row r="1329" s="430" customFormat="1" x14ac:dyDescent="0.3"/>
    <row r="1330" s="430" customFormat="1" x14ac:dyDescent="0.3"/>
    <row r="1331" s="430" customFormat="1" x14ac:dyDescent="0.3"/>
    <row r="1332" s="430" customFormat="1" x14ac:dyDescent="0.3"/>
    <row r="1333" s="430" customFormat="1" x14ac:dyDescent="0.3"/>
    <row r="1334" s="430" customFormat="1" x14ac:dyDescent="0.3"/>
    <row r="1335" s="430" customFormat="1" x14ac:dyDescent="0.3"/>
    <row r="1336" s="430" customFormat="1" x14ac:dyDescent="0.3"/>
    <row r="1337" s="430" customFormat="1" x14ac:dyDescent="0.3"/>
    <row r="1338" s="430" customFormat="1" x14ac:dyDescent="0.3"/>
    <row r="1339" s="430" customFormat="1" x14ac:dyDescent="0.3"/>
    <row r="1340" s="430" customFormat="1" x14ac:dyDescent="0.3"/>
    <row r="1341" s="430" customFormat="1" x14ac:dyDescent="0.3"/>
    <row r="1342" s="430" customFormat="1" x14ac:dyDescent="0.3"/>
    <row r="1343" s="430" customFormat="1" x14ac:dyDescent="0.3"/>
    <row r="1344" s="430" customFormat="1" x14ac:dyDescent="0.3"/>
    <row r="1345" s="430" customFormat="1" x14ac:dyDescent="0.3"/>
    <row r="1346" s="430" customFormat="1" x14ac:dyDescent="0.3"/>
    <row r="1347" s="430" customFormat="1" x14ac:dyDescent="0.3"/>
    <row r="1348" s="430" customFormat="1" x14ac:dyDescent="0.3"/>
    <row r="1349" s="430" customFormat="1" x14ac:dyDescent="0.3"/>
    <row r="1350" s="430" customFormat="1" x14ac:dyDescent="0.3"/>
    <row r="1351" s="430" customFormat="1" x14ac:dyDescent="0.3"/>
    <row r="1352" s="430" customFormat="1" x14ac:dyDescent="0.3"/>
    <row r="1353" s="430" customFormat="1" x14ac:dyDescent="0.3"/>
    <row r="1354" s="430" customFormat="1" x14ac:dyDescent="0.3"/>
    <row r="1355" s="430" customFormat="1" x14ac:dyDescent="0.3"/>
    <row r="1356" s="430" customFormat="1" x14ac:dyDescent="0.3"/>
    <row r="1357" s="430" customFormat="1" x14ac:dyDescent="0.3"/>
    <row r="1358" s="430" customFormat="1" x14ac:dyDescent="0.3"/>
    <row r="1359" s="430" customFormat="1" x14ac:dyDescent="0.3"/>
    <row r="1360" s="430" customFormat="1" x14ac:dyDescent="0.3"/>
    <row r="1361" s="430" customFormat="1" x14ac:dyDescent="0.3"/>
    <row r="1362" s="430" customFormat="1" x14ac:dyDescent="0.3"/>
    <row r="1363" s="430" customFormat="1" x14ac:dyDescent="0.3"/>
    <row r="1364" s="430" customFormat="1" x14ac:dyDescent="0.3"/>
    <row r="1365" s="430" customFormat="1" x14ac:dyDescent="0.3"/>
    <row r="1366" s="430" customFormat="1" x14ac:dyDescent="0.3"/>
    <row r="1367" s="430" customFormat="1" x14ac:dyDescent="0.3"/>
    <row r="1368" s="430" customFormat="1" x14ac:dyDescent="0.3"/>
    <row r="1369" s="430" customFormat="1" x14ac:dyDescent="0.3"/>
    <row r="1370" s="430" customFormat="1" x14ac:dyDescent="0.3"/>
    <row r="1371" s="430" customFormat="1" x14ac:dyDescent="0.3"/>
    <row r="1372" s="430" customFormat="1" x14ac:dyDescent="0.3"/>
    <row r="1373" s="430" customFormat="1" x14ac:dyDescent="0.3"/>
    <row r="1374" s="430" customFormat="1" x14ac:dyDescent="0.3"/>
    <row r="1375" s="430" customFormat="1" x14ac:dyDescent="0.3"/>
    <row r="1376" s="430" customFormat="1" x14ac:dyDescent="0.3"/>
    <row r="1377" s="430" customFormat="1" x14ac:dyDescent="0.3"/>
    <row r="1378" s="430" customFormat="1" x14ac:dyDescent="0.3"/>
    <row r="1379" s="430" customFormat="1" x14ac:dyDescent="0.3"/>
    <row r="1380" s="430" customFormat="1" x14ac:dyDescent="0.3"/>
    <row r="1381" s="430" customFormat="1" x14ac:dyDescent="0.3"/>
    <row r="1382" s="430" customFormat="1" x14ac:dyDescent="0.3"/>
    <row r="1383" s="430" customFormat="1" x14ac:dyDescent="0.3"/>
    <row r="1384" s="430" customFormat="1" x14ac:dyDescent="0.3"/>
    <row r="1385" s="430" customFormat="1" x14ac:dyDescent="0.3"/>
    <row r="1386" s="430" customFormat="1" x14ac:dyDescent="0.3"/>
    <row r="1387" s="430" customFormat="1" x14ac:dyDescent="0.3"/>
    <row r="1388" s="430" customFormat="1" x14ac:dyDescent="0.3"/>
    <row r="1389" s="430" customFormat="1" x14ac:dyDescent="0.3"/>
    <row r="1390" s="430" customFormat="1" x14ac:dyDescent="0.3"/>
    <row r="1391" s="430" customFormat="1" x14ac:dyDescent="0.3"/>
    <row r="1392" s="430" customFormat="1" x14ac:dyDescent="0.3"/>
    <row r="1393" s="430" customFormat="1" x14ac:dyDescent="0.3"/>
    <row r="1394" s="430" customFormat="1" x14ac:dyDescent="0.3"/>
    <row r="1395" s="430" customFormat="1" x14ac:dyDescent="0.3"/>
    <row r="1396" s="430" customFormat="1" x14ac:dyDescent="0.3"/>
    <row r="1397" s="430" customFormat="1" x14ac:dyDescent="0.3"/>
    <row r="1398" s="430" customFormat="1" x14ac:dyDescent="0.3"/>
    <row r="1399" s="430" customFormat="1" x14ac:dyDescent="0.3"/>
    <row r="1400" s="430" customFormat="1" x14ac:dyDescent="0.3"/>
    <row r="1401" s="430" customFormat="1" x14ac:dyDescent="0.3"/>
    <row r="1402" s="430" customFormat="1" x14ac:dyDescent="0.3"/>
    <row r="1403" s="430" customFormat="1" x14ac:dyDescent="0.3"/>
    <row r="1404" s="430" customFormat="1" x14ac:dyDescent="0.3"/>
    <row r="1405" s="430" customFormat="1" x14ac:dyDescent="0.3"/>
    <row r="1406" s="430" customFormat="1" x14ac:dyDescent="0.3"/>
    <row r="1407" s="430" customFormat="1" x14ac:dyDescent="0.3"/>
    <row r="1408" s="430" customFormat="1" x14ac:dyDescent="0.3"/>
    <row r="1409" s="430" customFormat="1" x14ac:dyDescent="0.3"/>
    <row r="1410" s="430" customFormat="1" x14ac:dyDescent="0.3"/>
    <row r="1411" s="430" customFormat="1" x14ac:dyDescent="0.3"/>
    <row r="1412" s="430" customFormat="1" x14ac:dyDescent="0.3"/>
    <row r="1413" s="430" customFormat="1" x14ac:dyDescent="0.3"/>
    <row r="1414" s="430" customFormat="1" x14ac:dyDescent="0.3"/>
    <row r="1415" s="430" customFormat="1" x14ac:dyDescent="0.3"/>
    <row r="1416" s="430" customFormat="1" x14ac:dyDescent="0.3"/>
    <row r="1417" s="430" customFormat="1" x14ac:dyDescent="0.3"/>
    <row r="1418" s="430" customFormat="1" x14ac:dyDescent="0.3"/>
    <row r="1419" s="430" customFormat="1" x14ac:dyDescent="0.3"/>
    <row r="1420" s="430" customFormat="1" x14ac:dyDescent="0.3"/>
    <row r="1421" s="430" customFormat="1" x14ac:dyDescent="0.3"/>
    <row r="1422" s="430" customFormat="1" x14ac:dyDescent="0.3"/>
    <row r="1423" s="430" customFormat="1" x14ac:dyDescent="0.3"/>
    <row r="1424" s="430" customFormat="1" x14ac:dyDescent="0.3"/>
    <row r="1425" s="430" customFormat="1" x14ac:dyDescent="0.3"/>
    <row r="1426" s="430" customFormat="1" x14ac:dyDescent="0.3"/>
    <row r="1427" s="430" customFormat="1" x14ac:dyDescent="0.3"/>
    <row r="1428" s="430" customFormat="1" x14ac:dyDescent="0.3"/>
    <row r="1429" s="430" customFormat="1" x14ac:dyDescent="0.3"/>
    <row r="1430" s="430" customFormat="1" x14ac:dyDescent="0.3"/>
    <row r="1431" s="430" customFormat="1" x14ac:dyDescent="0.3"/>
    <row r="1432" s="430" customFormat="1" x14ac:dyDescent="0.3"/>
    <row r="1433" s="430" customFormat="1" x14ac:dyDescent="0.3"/>
    <row r="1434" s="430" customFormat="1" x14ac:dyDescent="0.3"/>
    <row r="1435" s="430" customFormat="1" x14ac:dyDescent="0.3"/>
    <row r="1436" s="430" customFormat="1" x14ac:dyDescent="0.3"/>
    <row r="1437" s="430" customFormat="1" x14ac:dyDescent="0.3"/>
    <row r="1438" s="430" customFormat="1" x14ac:dyDescent="0.3"/>
    <row r="1439" s="430" customFormat="1" x14ac:dyDescent="0.3"/>
    <row r="1440" s="430" customFormat="1" x14ac:dyDescent="0.3"/>
    <row r="1441" s="430" customFormat="1" x14ac:dyDescent="0.3"/>
    <row r="1442" s="430" customFormat="1" x14ac:dyDescent="0.3"/>
    <row r="1443" s="430" customFormat="1" x14ac:dyDescent="0.3"/>
    <row r="1444" s="430" customFormat="1" x14ac:dyDescent="0.3"/>
    <row r="1445" s="430" customFormat="1" x14ac:dyDescent="0.3"/>
    <row r="1446" s="430" customFormat="1" x14ac:dyDescent="0.3"/>
    <row r="1447" s="430" customFormat="1" x14ac:dyDescent="0.3"/>
    <row r="1448" s="430" customFormat="1" x14ac:dyDescent="0.3"/>
    <row r="1449" s="430" customFormat="1" x14ac:dyDescent="0.3"/>
    <row r="1450" s="430" customFormat="1" x14ac:dyDescent="0.3"/>
    <row r="1451" s="430" customFormat="1" x14ac:dyDescent="0.3"/>
    <row r="1452" s="430" customFormat="1" x14ac:dyDescent="0.3"/>
    <row r="1453" s="430" customFormat="1" x14ac:dyDescent="0.3"/>
    <row r="1454" s="430" customFormat="1" x14ac:dyDescent="0.3"/>
    <row r="1455" s="430" customFormat="1" x14ac:dyDescent="0.3"/>
    <row r="1456" s="430" customFormat="1" x14ac:dyDescent="0.3"/>
    <row r="1457" s="430" customFormat="1" x14ac:dyDescent="0.3"/>
    <row r="1458" s="430" customFormat="1" x14ac:dyDescent="0.3"/>
    <row r="1459" s="430" customFormat="1" x14ac:dyDescent="0.3"/>
    <row r="1460" s="430" customFormat="1" x14ac:dyDescent="0.3"/>
    <row r="1461" s="430" customFormat="1" x14ac:dyDescent="0.3"/>
    <row r="1462" s="430" customFormat="1" x14ac:dyDescent="0.3"/>
    <row r="1463" s="430" customFormat="1" x14ac:dyDescent="0.3"/>
    <row r="1464" s="430" customFormat="1" x14ac:dyDescent="0.3"/>
    <row r="1465" s="430" customFormat="1" x14ac:dyDescent="0.3"/>
    <row r="1466" s="430" customFormat="1" x14ac:dyDescent="0.3"/>
    <row r="1467" s="430" customFormat="1" x14ac:dyDescent="0.3"/>
    <row r="1468" s="430" customFormat="1" x14ac:dyDescent="0.3"/>
    <row r="1469" s="430" customFormat="1" x14ac:dyDescent="0.3"/>
    <row r="1470" s="430" customFormat="1" x14ac:dyDescent="0.3"/>
    <row r="1471" s="430" customFormat="1" x14ac:dyDescent="0.3"/>
    <row r="1472" s="430" customFormat="1" x14ac:dyDescent="0.3"/>
    <row r="1473" s="430" customFormat="1" x14ac:dyDescent="0.3"/>
    <row r="1474" s="430" customFormat="1" x14ac:dyDescent="0.3"/>
    <row r="1475" s="430" customFormat="1" x14ac:dyDescent="0.3"/>
    <row r="1476" s="430" customFormat="1" x14ac:dyDescent="0.3"/>
    <row r="1477" s="430" customFormat="1" x14ac:dyDescent="0.3"/>
    <row r="1478" s="430" customFormat="1" x14ac:dyDescent="0.3"/>
    <row r="1479" s="430" customFormat="1" x14ac:dyDescent="0.3"/>
    <row r="1480" s="430" customFormat="1" x14ac:dyDescent="0.3"/>
    <row r="1481" s="430" customFormat="1" x14ac:dyDescent="0.3"/>
    <row r="1482" s="430" customFormat="1" x14ac:dyDescent="0.3"/>
    <row r="1483" s="430" customFormat="1" x14ac:dyDescent="0.3"/>
    <row r="1484" s="430" customFormat="1" x14ac:dyDescent="0.3"/>
    <row r="1485" s="430" customFormat="1" x14ac:dyDescent="0.3"/>
    <row r="1486" s="430" customFormat="1" x14ac:dyDescent="0.3"/>
    <row r="1487" s="430" customFormat="1" x14ac:dyDescent="0.3"/>
    <row r="1488" s="430" customFormat="1" x14ac:dyDescent="0.3"/>
    <row r="1489" s="430" customFormat="1" x14ac:dyDescent="0.3"/>
    <row r="1490" s="430" customFormat="1" x14ac:dyDescent="0.3"/>
    <row r="1491" s="430" customFormat="1" x14ac:dyDescent="0.3"/>
    <row r="1492" s="430" customFormat="1" x14ac:dyDescent="0.3"/>
    <row r="1493" s="430" customFormat="1" x14ac:dyDescent="0.3"/>
    <row r="1494" s="430" customFormat="1" x14ac:dyDescent="0.3"/>
    <row r="1495" s="430" customFormat="1" x14ac:dyDescent="0.3"/>
    <row r="1496" s="430" customFormat="1" x14ac:dyDescent="0.3"/>
    <row r="1497" s="430" customFormat="1" x14ac:dyDescent="0.3"/>
    <row r="1498" s="430" customFormat="1" x14ac:dyDescent="0.3"/>
    <row r="1499" s="430" customFormat="1" x14ac:dyDescent="0.3"/>
    <row r="1500" s="430" customFormat="1" x14ac:dyDescent="0.3"/>
    <row r="1501" s="430" customFormat="1" x14ac:dyDescent="0.3"/>
    <row r="1502" s="430" customFormat="1" x14ac:dyDescent="0.3"/>
    <row r="1503" s="430" customFormat="1" x14ac:dyDescent="0.3"/>
    <row r="1504" s="430" customFormat="1" x14ac:dyDescent="0.3"/>
    <row r="1505" s="430" customFormat="1" x14ac:dyDescent="0.3"/>
    <row r="1506" s="430" customFormat="1" x14ac:dyDescent="0.3"/>
    <row r="1507" s="430" customFormat="1" x14ac:dyDescent="0.3"/>
    <row r="1508" s="430" customFormat="1" x14ac:dyDescent="0.3"/>
    <row r="1509" s="430" customFormat="1" x14ac:dyDescent="0.3"/>
    <row r="1510" s="430" customFormat="1" x14ac:dyDescent="0.3"/>
    <row r="1511" s="430" customFormat="1" x14ac:dyDescent="0.3"/>
    <row r="1512" s="430" customFormat="1" x14ac:dyDescent="0.3"/>
    <row r="1513" s="430" customFormat="1" x14ac:dyDescent="0.3"/>
    <row r="1514" s="430" customFormat="1" x14ac:dyDescent="0.3"/>
    <row r="1515" s="430" customFormat="1" x14ac:dyDescent="0.3"/>
    <row r="1516" s="430" customFormat="1" x14ac:dyDescent="0.3"/>
    <row r="1517" s="430" customFormat="1" x14ac:dyDescent="0.3"/>
    <row r="1518" s="430" customFormat="1" x14ac:dyDescent="0.3"/>
    <row r="1519" s="430" customFormat="1" x14ac:dyDescent="0.3"/>
    <row r="1520" s="430" customFormat="1" x14ac:dyDescent="0.3"/>
    <row r="1521" s="430" customFormat="1" x14ac:dyDescent="0.3"/>
    <row r="1522" s="430" customFormat="1" x14ac:dyDescent="0.3"/>
    <row r="1523" s="430" customFormat="1" x14ac:dyDescent="0.3"/>
    <row r="1524" s="430" customFormat="1" x14ac:dyDescent="0.3"/>
    <row r="1525" s="430" customFormat="1" x14ac:dyDescent="0.3"/>
    <row r="1526" s="430" customFormat="1" x14ac:dyDescent="0.3"/>
    <row r="1527" s="430" customFormat="1" x14ac:dyDescent="0.3"/>
    <row r="1528" s="430" customFormat="1" x14ac:dyDescent="0.3"/>
    <row r="1529" s="430" customFormat="1" x14ac:dyDescent="0.3"/>
    <row r="1530" s="430" customFormat="1" x14ac:dyDescent="0.3"/>
    <row r="1531" s="430" customFormat="1" x14ac:dyDescent="0.3"/>
    <row r="1532" s="430" customFormat="1" x14ac:dyDescent="0.3"/>
    <row r="1533" s="430" customFormat="1" x14ac:dyDescent="0.3"/>
    <row r="1534" s="430" customFormat="1" x14ac:dyDescent="0.3"/>
    <row r="1535" s="430" customFormat="1" x14ac:dyDescent="0.3"/>
    <row r="1536" s="430" customFormat="1" x14ac:dyDescent="0.3"/>
    <row r="1537" s="430" customFormat="1" x14ac:dyDescent="0.3"/>
    <row r="1538" s="430" customFormat="1" x14ac:dyDescent="0.3"/>
    <row r="1539" s="430" customFormat="1" x14ac:dyDescent="0.3"/>
    <row r="1540" s="430" customFormat="1" x14ac:dyDescent="0.3"/>
    <row r="1541" s="430" customFormat="1" x14ac:dyDescent="0.3"/>
    <row r="1542" s="430" customFormat="1" x14ac:dyDescent="0.3"/>
    <row r="1543" s="430" customFormat="1" x14ac:dyDescent="0.3"/>
    <row r="1544" s="430" customFormat="1" x14ac:dyDescent="0.3"/>
    <row r="1545" s="430" customFormat="1" x14ac:dyDescent="0.3"/>
    <row r="1546" s="430" customFormat="1" x14ac:dyDescent="0.3"/>
    <row r="1547" s="430" customFormat="1" x14ac:dyDescent="0.3"/>
    <row r="1548" s="430" customFormat="1" x14ac:dyDescent="0.3"/>
    <row r="1549" s="430" customFormat="1" x14ac:dyDescent="0.3"/>
    <row r="1550" s="430" customFormat="1" x14ac:dyDescent="0.3"/>
    <row r="1551" s="430" customFormat="1" x14ac:dyDescent="0.3"/>
    <row r="1552" s="430" customFormat="1" x14ac:dyDescent="0.3"/>
    <row r="1553" s="430" customFormat="1" x14ac:dyDescent="0.3"/>
    <row r="1554" s="430" customFormat="1" x14ac:dyDescent="0.3"/>
    <row r="1555" s="430" customFormat="1" x14ac:dyDescent="0.3"/>
    <row r="1556" s="430" customFormat="1" x14ac:dyDescent="0.3"/>
    <row r="1557" s="430" customFormat="1" x14ac:dyDescent="0.3"/>
    <row r="1558" s="430" customFormat="1" x14ac:dyDescent="0.3"/>
    <row r="1559" s="430" customFormat="1" x14ac:dyDescent="0.3"/>
    <row r="1560" s="430" customFormat="1" x14ac:dyDescent="0.3"/>
    <row r="1561" s="430" customFormat="1" x14ac:dyDescent="0.3"/>
    <row r="1562" s="430" customFormat="1" x14ac:dyDescent="0.3"/>
    <row r="1563" s="430" customFormat="1" x14ac:dyDescent="0.3"/>
    <row r="1564" s="430" customFormat="1" x14ac:dyDescent="0.3"/>
    <row r="1565" s="430" customFormat="1" x14ac:dyDescent="0.3"/>
    <row r="1566" s="430" customFormat="1" x14ac:dyDescent="0.3"/>
    <row r="1567" s="430" customFormat="1" x14ac:dyDescent="0.3"/>
    <row r="1568" s="430" customFormat="1" x14ac:dyDescent="0.3"/>
    <row r="1569" s="430" customFormat="1" x14ac:dyDescent="0.3"/>
    <row r="1570" s="430" customFormat="1" x14ac:dyDescent="0.3"/>
    <row r="1571" s="430" customFormat="1" x14ac:dyDescent="0.3"/>
    <row r="1572" s="430" customFormat="1" x14ac:dyDescent="0.3"/>
    <row r="1573" s="430" customFormat="1" x14ac:dyDescent="0.3"/>
    <row r="1574" s="430" customFormat="1" x14ac:dyDescent="0.3"/>
    <row r="1575" s="430" customFormat="1" x14ac:dyDescent="0.3"/>
    <row r="1576" s="430" customFormat="1" x14ac:dyDescent="0.3"/>
    <row r="1577" s="430" customFormat="1" x14ac:dyDescent="0.3"/>
    <row r="1578" s="430" customFormat="1" x14ac:dyDescent="0.3"/>
    <row r="1579" s="430" customFormat="1" x14ac:dyDescent="0.3"/>
    <row r="1580" s="430" customFormat="1" x14ac:dyDescent="0.3"/>
    <row r="1581" s="430" customFormat="1" x14ac:dyDescent="0.3"/>
    <row r="1582" s="430" customFormat="1" x14ac:dyDescent="0.3"/>
    <row r="1583" s="430" customFormat="1" x14ac:dyDescent="0.3"/>
    <row r="1584" s="430" customFormat="1" x14ac:dyDescent="0.3"/>
    <row r="1585" s="430" customFormat="1" x14ac:dyDescent="0.3"/>
    <row r="1586" s="430" customFormat="1" x14ac:dyDescent="0.3"/>
    <row r="1587" s="430" customFormat="1" x14ac:dyDescent="0.3"/>
    <row r="1588" s="430" customFormat="1" x14ac:dyDescent="0.3"/>
    <row r="1589" s="430" customFormat="1" x14ac:dyDescent="0.3"/>
    <row r="1590" s="430" customFormat="1" x14ac:dyDescent="0.3"/>
    <row r="1591" s="430" customFormat="1" x14ac:dyDescent="0.3"/>
    <row r="1592" s="430" customFormat="1" x14ac:dyDescent="0.3"/>
    <row r="1593" s="430" customFormat="1" x14ac:dyDescent="0.3"/>
    <row r="1594" s="430" customFormat="1" x14ac:dyDescent="0.3"/>
    <row r="1595" s="430" customFormat="1" x14ac:dyDescent="0.3"/>
    <row r="1596" s="430" customFormat="1" x14ac:dyDescent="0.3"/>
    <row r="1597" s="430" customFormat="1" x14ac:dyDescent="0.3"/>
    <row r="1598" s="430" customFormat="1" x14ac:dyDescent="0.3"/>
    <row r="1599" s="430" customFormat="1" x14ac:dyDescent="0.3"/>
    <row r="1600" s="430" customFormat="1" x14ac:dyDescent="0.3"/>
    <row r="1601" s="430" customFormat="1" x14ac:dyDescent="0.3"/>
    <row r="1602" s="430" customFormat="1" x14ac:dyDescent="0.3"/>
    <row r="1603" s="430" customFormat="1" x14ac:dyDescent="0.3"/>
    <row r="1604" s="430" customFormat="1" x14ac:dyDescent="0.3"/>
    <row r="1605" s="430" customFormat="1" x14ac:dyDescent="0.3"/>
    <row r="1606" s="430" customFormat="1" x14ac:dyDescent="0.3"/>
    <row r="1607" s="430" customFormat="1" x14ac:dyDescent="0.3"/>
    <row r="1608" s="430" customFormat="1" x14ac:dyDescent="0.3"/>
    <row r="1609" s="430" customFormat="1" x14ac:dyDescent="0.3"/>
    <row r="1610" s="430" customFormat="1" x14ac:dyDescent="0.3"/>
    <row r="1611" s="430" customFormat="1" x14ac:dyDescent="0.3"/>
    <row r="1612" s="430" customFormat="1" x14ac:dyDescent="0.3"/>
    <row r="1613" s="430" customFormat="1" x14ac:dyDescent="0.3"/>
    <row r="1614" s="430" customFormat="1" x14ac:dyDescent="0.3"/>
    <row r="1615" s="430" customFormat="1" x14ac:dyDescent="0.3"/>
    <row r="1616" s="430" customFormat="1" x14ac:dyDescent="0.3"/>
    <row r="1617" s="430" customFormat="1" x14ac:dyDescent="0.3"/>
    <row r="1618" s="430" customFormat="1" x14ac:dyDescent="0.3"/>
    <row r="1619" s="430" customFormat="1" x14ac:dyDescent="0.3"/>
    <row r="1620" s="430" customFormat="1" x14ac:dyDescent="0.3"/>
    <row r="1621" s="430" customFormat="1" x14ac:dyDescent="0.3"/>
    <row r="1622" s="430" customFormat="1" x14ac:dyDescent="0.3"/>
    <row r="1623" s="430" customFormat="1" x14ac:dyDescent="0.3"/>
    <row r="1624" s="430" customFormat="1" x14ac:dyDescent="0.3"/>
    <row r="1625" s="430" customFormat="1" x14ac:dyDescent="0.3"/>
    <row r="1626" s="430" customFormat="1" x14ac:dyDescent="0.3"/>
    <row r="1627" s="430" customFormat="1" x14ac:dyDescent="0.3"/>
    <row r="1628" s="430" customFormat="1" x14ac:dyDescent="0.3"/>
    <row r="1629" s="430" customFormat="1" x14ac:dyDescent="0.3"/>
    <row r="1630" s="430" customFormat="1" x14ac:dyDescent="0.3"/>
    <row r="1631" s="430" customFormat="1" x14ac:dyDescent="0.3"/>
    <row r="1632" s="430" customFormat="1" x14ac:dyDescent="0.3"/>
    <row r="1633" s="430" customFormat="1" x14ac:dyDescent="0.3"/>
    <row r="1634" s="430" customFormat="1" x14ac:dyDescent="0.3"/>
    <row r="1635" s="430" customFormat="1" x14ac:dyDescent="0.3"/>
    <row r="1636" s="430" customFormat="1" x14ac:dyDescent="0.3"/>
    <row r="1637" s="430" customFormat="1" x14ac:dyDescent="0.3"/>
    <row r="1638" s="430" customFormat="1" x14ac:dyDescent="0.3"/>
    <row r="1639" s="430" customFormat="1" x14ac:dyDescent="0.3"/>
    <row r="1640" s="430" customFormat="1" x14ac:dyDescent="0.3"/>
    <row r="1641" s="430" customFormat="1" x14ac:dyDescent="0.3"/>
    <row r="1642" s="430" customFormat="1" x14ac:dyDescent="0.3"/>
    <row r="1643" s="430" customFormat="1" x14ac:dyDescent="0.3"/>
    <row r="1644" s="430" customFormat="1" x14ac:dyDescent="0.3"/>
    <row r="1645" s="430" customFormat="1" x14ac:dyDescent="0.3"/>
    <row r="1646" s="430" customFormat="1" x14ac:dyDescent="0.3"/>
    <row r="1647" s="430" customFormat="1" x14ac:dyDescent="0.3"/>
    <row r="1648" s="430" customFormat="1" x14ac:dyDescent="0.3"/>
    <row r="1649" s="430" customFormat="1" x14ac:dyDescent="0.3"/>
    <row r="1650" s="430" customFormat="1" x14ac:dyDescent="0.3"/>
    <row r="1651" s="430" customFormat="1" x14ac:dyDescent="0.3"/>
    <row r="1652" s="430" customFormat="1" x14ac:dyDescent="0.3"/>
    <row r="1653" s="430" customFormat="1" x14ac:dyDescent="0.3"/>
    <row r="1654" s="430" customFormat="1" x14ac:dyDescent="0.3"/>
    <row r="1655" s="430" customFormat="1" x14ac:dyDescent="0.3"/>
    <row r="1656" s="430" customFormat="1" x14ac:dyDescent="0.3"/>
    <row r="1657" s="430" customFormat="1" x14ac:dyDescent="0.3"/>
    <row r="1658" s="430" customFormat="1" x14ac:dyDescent="0.3"/>
    <row r="1659" s="430" customFormat="1" x14ac:dyDescent="0.3"/>
    <row r="1660" s="430" customFormat="1" x14ac:dyDescent="0.3"/>
    <row r="1661" s="430" customFormat="1" x14ac:dyDescent="0.3"/>
    <row r="1662" s="430" customFormat="1" x14ac:dyDescent="0.3"/>
    <row r="1663" s="430" customFormat="1" x14ac:dyDescent="0.3"/>
    <row r="1664" s="430" customFormat="1" x14ac:dyDescent="0.3"/>
    <row r="1665" s="430" customFormat="1" x14ac:dyDescent="0.3"/>
    <row r="1666" s="430" customFormat="1" x14ac:dyDescent="0.3"/>
    <row r="1667" s="430" customFormat="1" x14ac:dyDescent="0.3"/>
    <row r="1668" s="430" customFormat="1" x14ac:dyDescent="0.3"/>
    <row r="1669" s="430" customFormat="1" x14ac:dyDescent="0.3"/>
    <row r="1670" s="430" customFormat="1" x14ac:dyDescent="0.3"/>
    <row r="1671" s="430" customFormat="1" x14ac:dyDescent="0.3"/>
    <row r="1672" s="430" customFormat="1" x14ac:dyDescent="0.3"/>
    <row r="1673" s="430" customFormat="1" x14ac:dyDescent="0.3"/>
    <row r="1674" s="430" customFormat="1" x14ac:dyDescent="0.3"/>
    <row r="1675" s="430" customFormat="1" x14ac:dyDescent="0.3"/>
    <row r="1676" s="430" customFormat="1" x14ac:dyDescent="0.3"/>
    <row r="1677" s="430" customFormat="1" x14ac:dyDescent="0.3"/>
    <row r="1678" s="430" customFormat="1" x14ac:dyDescent="0.3"/>
    <row r="1679" s="430" customFormat="1" x14ac:dyDescent="0.3"/>
    <row r="1680" s="430" customFormat="1" x14ac:dyDescent="0.3"/>
    <row r="1681" s="430" customFormat="1" x14ac:dyDescent="0.3"/>
    <row r="1682" s="430" customFormat="1" x14ac:dyDescent="0.3"/>
    <row r="1683" s="430" customFormat="1" x14ac:dyDescent="0.3"/>
    <row r="1684" s="430" customFormat="1" x14ac:dyDescent="0.3"/>
    <row r="1685" s="430" customFormat="1" x14ac:dyDescent="0.3"/>
    <row r="1686" s="430" customFormat="1" x14ac:dyDescent="0.3"/>
    <row r="1687" s="430" customFormat="1" x14ac:dyDescent="0.3"/>
    <row r="1688" s="430" customFormat="1" x14ac:dyDescent="0.3"/>
    <row r="1689" s="430" customFormat="1" x14ac:dyDescent="0.3"/>
    <row r="1690" s="430" customFormat="1" x14ac:dyDescent="0.3"/>
    <row r="1691" s="430" customFormat="1" x14ac:dyDescent="0.3"/>
    <row r="1692" s="430" customFormat="1" x14ac:dyDescent="0.3"/>
    <row r="1693" s="430" customFormat="1" x14ac:dyDescent="0.3"/>
    <row r="1694" s="430" customFormat="1" x14ac:dyDescent="0.3"/>
    <row r="1695" s="430" customFormat="1" x14ac:dyDescent="0.3"/>
    <row r="1696" s="430" customFormat="1" x14ac:dyDescent="0.3"/>
    <row r="1697" s="430" customFormat="1" x14ac:dyDescent="0.3"/>
    <row r="1698" s="430" customFormat="1" x14ac:dyDescent="0.3"/>
    <row r="1699" s="430" customFormat="1" x14ac:dyDescent="0.3"/>
    <row r="1700" s="430" customFormat="1" x14ac:dyDescent="0.3"/>
    <row r="1701" s="430" customFormat="1" x14ac:dyDescent="0.3"/>
    <row r="1702" s="430" customFormat="1" x14ac:dyDescent="0.3"/>
    <row r="1703" s="430" customFormat="1" x14ac:dyDescent="0.3"/>
    <row r="1704" s="430" customFormat="1" x14ac:dyDescent="0.3"/>
    <row r="1705" s="430" customFormat="1" x14ac:dyDescent="0.3"/>
    <row r="1706" s="430" customFormat="1" x14ac:dyDescent="0.3"/>
    <row r="1707" s="430" customFormat="1" x14ac:dyDescent="0.3"/>
    <row r="1708" s="430" customFormat="1" x14ac:dyDescent="0.3"/>
    <row r="1709" s="430" customFormat="1" x14ac:dyDescent="0.3"/>
    <row r="1710" s="430" customFormat="1" x14ac:dyDescent="0.3"/>
    <row r="1711" s="430" customFormat="1" x14ac:dyDescent="0.3"/>
    <row r="1712" s="430" customFormat="1" x14ac:dyDescent="0.3"/>
    <row r="1713" s="430" customFormat="1" x14ac:dyDescent="0.3"/>
    <row r="1714" s="430" customFormat="1" x14ac:dyDescent="0.3"/>
    <row r="1715" s="430" customFormat="1" x14ac:dyDescent="0.3"/>
    <row r="1716" s="430" customFormat="1" x14ac:dyDescent="0.3"/>
    <row r="1717" s="430" customFormat="1" x14ac:dyDescent="0.3"/>
    <row r="1718" s="430" customFormat="1" x14ac:dyDescent="0.3"/>
    <row r="1719" s="430" customFormat="1" x14ac:dyDescent="0.3"/>
    <row r="1720" s="430" customFormat="1" x14ac:dyDescent="0.3"/>
    <row r="1721" s="430" customFormat="1" x14ac:dyDescent="0.3"/>
    <row r="1722" s="430" customFormat="1" x14ac:dyDescent="0.3"/>
    <row r="1723" s="430" customFormat="1" x14ac:dyDescent="0.3"/>
    <row r="1724" s="430" customFormat="1" x14ac:dyDescent="0.3"/>
    <row r="1725" s="430" customFormat="1" x14ac:dyDescent="0.3"/>
    <row r="1726" s="430" customFormat="1" x14ac:dyDescent="0.3"/>
    <row r="1727" s="430" customFormat="1" x14ac:dyDescent="0.3"/>
    <row r="1728" s="430" customFormat="1" x14ac:dyDescent="0.3"/>
    <row r="1729" s="430" customFormat="1" x14ac:dyDescent="0.3"/>
    <row r="1730" s="430" customFormat="1" x14ac:dyDescent="0.3"/>
    <row r="1731" s="430" customFormat="1" x14ac:dyDescent="0.3"/>
    <row r="1732" s="430" customFormat="1" x14ac:dyDescent="0.3"/>
    <row r="1733" s="430" customFormat="1" x14ac:dyDescent="0.3"/>
    <row r="1734" s="430" customFormat="1" x14ac:dyDescent="0.3"/>
    <row r="1735" s="430" customFormat="1" x14ac:dyDescent="0.3"/>
    <row r="1736" s="430" customFormat="1" x14ac:dyDescent="0.3"/>
    <row r="1737" s="430" customFormat="1" x14ac:dyDescent="0.3"/>
    <row r="1738" s="430" customFormat="1" x14ac:dyDescent="0.3"/>
    <row r="1739" s="430" customFormat="1" x14ac:dyDescent="0.3"/>
    <row r="1740" s="430" customFormat="1" x14ac:dyDescent="0.3"/>
    <row r="1741" s="430" customFormat="1" x14ac:dyDescent="0.3"/>
    <row r="1742" s="430" customFormat="1" x14ac:dyDescent="0.3"/>
    <row r="1743" s="430" customFormat="1" x14ac:dyDescent="0.3"/>
    <row r="1744" s="430" customFormat="1" x14ac:dyDescent="0.3"/>
    <row r="1745" s="430" customFormat="1" x14ac:dyDescent="0.3"/>
    <row r="1746" s="430" customFormat="1" x14ac:dyDescent="0.3"/>
    <row r="1747" s="430" customFormat="1" x14ac:dyDescent="0.3"/>
    <row r="1748" s="430" customFormat="1" x14ac:dyDescent="0.3"/>
    <row r="1749" s="430" customFormat="1" x14ac:dyDescent="0.3"/>
    <row r="1750" s="430" customFormat="1" x14ac:dyDescent="0.3"/>
    <row r="1751" s="430" customFormat="1" x14ac:dyDescent="0.3"/>
    <row r="1752" s="430" customFormat="1" x14ac:dyDescent="0.3"/>
    <row r="1753" s="430" customFormat="1" x14ac:dyDescent="0.3"/>
    <row r="1754" s="430" customFormat="1" x14ac:dyDescent="0.3"/>
    <row r="1755" s="430" customFormat="1" x14ac:dyDescent="0.3"/>
    <row r="1756" s="430" customFormat="1" x14ac:dyDescent="0.3"/>
    <row r="1757" s="430" customFormat="1" x14ac:dyDescent="0.3"/>
    <row r="1758" s="430" customFormat="1" x14ac:dyDescent="0.3"/>
    <row r="1759" s="430" customFormat="1" x14ac:dyDescent="0.3"/>
    <row r="1760" s="430" customFormat="1" x14ac:dyDescent="0.3"/>
    <row r="1761" s="430" customFormat="1" x14ac:dyDescent="0.3"/>
    <row r="1762" s="430" customFormat="1" x14ac:dyDescent="0.3"/>
    <row r="1763" s="430" customFormat="1" x14ac:dyDescent="0.3"/>
    <row r="1764" s="430" customFormat="1" x14ac:dyDescent="0.3"/>
    <row r="1765" s="430" customFormat="1" x14ac:dyDescent="0.3"/>
    <row r="1766" s="430" customFormat="1" x14ac:dyDescent="0.3"/>
    <row r="1767" s="430" customFormat="1" x14ac:dyDescent="0.3"/>
    <row r="1768" s="430" customFormat="1" x14ac:dyDescent="0.3"/>
    <row r="1769" s="430" customFormat="1" x14ac:dyDescent="0.3"/>
    <row r="1770" s="430" customFormat="1" x14ac:dyDescent="0.3"/>
    <row r="1771" s="430" customFormat="1" x14ac:dyDescent="0.3"/>
    <row r="1772" s="430" customFormat="1" x14ac:dyDescent="0.3"/>
    <row r="1773" s="430" customFormat="1" x14ac:dyDescent="0.3"/>
    <row r="1774" s="430" customFormat="1" x14ac:dyDescent="0.3"/>
    <row r="1775" s="430" customFormat="1" x14ac:dyDescent="0.3"/>
    <row r="1776" s="430" customFormat="1" x14ac:dyDescent="0.3"/>
    <row r="1777" s="430" customFormat="1" x14ac:dyDescent="0.3"/>
    <row r="1778" s="430" customFormat="1" x14ac:dyDescent="0.3"/>
    <row r="1779" s="430" customFormat="1" x14ac:dyDescent="0.3"/>
    <row r="1780" s="430" customFormat="1" x14ac:dyDescent="0.3"/>
    <row r="1781" s="430" customFormat="1" x14ac:dyDescent="0.3"/>
    <row r="1782" s="430" customFormat="1" x14ac:dyDescent="0.3"/>
    <row r="1783" s="430" customFormat="1" x14ac:dyDescent="0.3"/>
    <row r="1784" s="430" customFormat="1" x14ac:dyDescent="0.3"/>
    <row r="1785" s="430" customFormat="1" x14ac:dyDescent="0.3"/>
    <row r="1786" s="430" customFormat="1" x14ac:dyDescent="0.3"/>
    <row r="1787" s="430" customFormat="1" x14ac:dyDescent="0.3"/>
    <row r="1788" s="430" customFormat="1" x14ac:dyDescent="0.3"/>
    <row r="1789" s="430" customFormat="1" x14ac:dyDescent="0.3"/>
    <row r="1790" s="430" customFormat="1" x14ac:dyDescent="0.3"/>
    <row r="1791" s="430" customFormat="1" x14ac:dyDescent="0.3"/>
    <row r="1792" s="430" customFormat="1" x14ac:dyDescent="0.3"/>
    <row r="1793" s="430" customFormat="1" x14ac:dyDescent="0.3"/>
    <row r="1794" s="430" customFormat="1" x14ac:dyDescent="0.3"/>
    <row r="1795" s="430" customFormat="1" x14ac:dyDescent="0.3"/>
    <row r="1796" s="430" customFormat="1" x14ac:dyDescent="0.3"/>
    <row r="1797" s="430" customFormat="1" x14ac:dyDescent="0.3"/>
    <row r="1798" s="430" customFormat="1" x14ac:dyDescent="0.3"/>
    <row r="1799" s="430" customFormat="1" x14ac:dyDescent="0.3"/>
    <row r="1800" s="430" customFormat="1" x14ac:dyDescent="0.3"/>
    <row r="1801" s="430" customFormat="1" x14ac:dyDescent="0.3"/>
    <row r="1802" s="430" customFormat="1" x14ac:dyDescent="0.3"/>
    <row r="1803" s="430" customFormat="1" x14ac:dyDescent="0.3"/>
    <row r="1804" s="430" customFormat="1" x14ac:dyDescent="0.3"/>
    <row r="1805" s="430" customFormat="1" x14ac:dyDescent="0.3"/>
    <row r="1806" s="430" customFormat="1" x14ac:dyDescent="0.3"/>
    <row r="1807" s="430" customFormat="1" x14ac:dyDescent="0.3"/>
    <row r="1808" s="430" customFormat="1" x14ac:dyDescent="0.3"/>
    <row r="1809" s="430" customFormat="1" x14ac:dyDescent="0.3"/>
    <row r="1810" s="430" customFormat="1" x14ac:dyDescent="0.3"/>
    <row r="1811" s="430" customFormat="1" x14ac:dyDescent="0.3"/>
    <row r="1812" s="430" customFormat="1" x14ac:dyDescent="0.3"/>
    <row r="1813" s="430" customFormat="1" x14ac:dyDescent="0.3"/>
    <row r="1814" s="430" customFormat="1" x14ac:dyDescent="0.3"/>
    <row r="1815" s="430" customFormat="1" x14ac:dyDescent="0.3"/>
    <row r="1816" s="430" customFormat="1" x14ac:dyDescent="0.3"/>
    <row r="1817" s="430" customFormat="1" x14ac:dyDescent="0.3"/>
    <row r="1818" s="430" customFormat="1" x14ac:dyDescent="0.3"/>
    <row r="1819" s="430" customFormat="1" x14ac:dyDescent="0.3"/>
    <row r="1820" s="430" customFormat="1" x14ac:dyDescent="0.3"/>
    <row r="1821" s="430" customFormat="1" x14ac:dyDescent="0.3"/>
    <row r="1822" s="430" customFormat="1" x14ac:dyDescent="0.3"/>
    <row r="1823" s="430" customFormat="1" x14ac:dyDescent="0.3"/>
    <row r="1824" s="430" customFormat="1" x14ac:dyDescent="0.3"/>
    <row r="1825" s="430" customFormat="1" x14ac:dyDescent="0.3"/>
    <row r="1826" s="430" customFormat="1" x14ac:dyDescent="0.3"/>
    <row r="1827" s="430" customFormat="1" x14ac:dyDescent="0.3"/>
    <row r="1828" s="430" customFormat="1" x14ac:dyDescent="0.3"/>
    <row r="1829" s="430" customFormat="1" x14ac:dyDescent="0.3"/>
    <row r="1830" s="430" customFormat="1" x14ac:dyDescent="0.3"/>
    <row r="1831" s="430" customFormat="1" x14ac:dyDescent="0.3"/>
    <row r="1832" s="430" customFormat="1" x14ac:dyDescent="0.3"/>
    <row r="1833" s="430" customFormat="1" x14ac:dyDescent="0.3"/>
    <row r="1834" s="430" customFormat="1" x14ac:dyDescent="0.3"/>
    <row r="1835" s="430" customFormat="1" x14ac:dyDescent="0.3"/>
    <row r="1836" s="430" customFormat="1" x14ac:dyDescent="0.3"/>
    <row r="1837" s="430" customFormat="1" x14ac:dyDescent="0.3"/>
    <row r="1838" s="430" customFormat="1" x14ac:dyDescent="0.3"/>
    <row r="1839" s="430" customFormat="1" x14ac:dyDescent="0.3"/>
    <row r="1840" s="430" customFormat="1" x14ac:dyDescent="0.3"/>
    <row r="1841" s="430" customFormat="1" x14ac:dyDescent="0.3"/>
    <row r="1842" s="430" customFormat="1" x14ac:dyDescent="0.3"/>
    <row r="1843" s="430" customFormat="1" x14ac:dyDescent="0.3"/>
    <row r="1844" s="430" customFormat="1" x14ac:dyDescent="0.3"/>
    <row r="1845" s="430" customFormat="1" x14ac:dyDescent="0.3"/>
    <row r="1846" s="430" customFormat="1" x14ac:dyDescent="0.3"/>
    <row r="1847" s="430" customFormat="1" x14ac:dyDescent="0.3"/>
    <row r="1848" s="430" customFormat="1" x14ac:dyDescent="0.3"/>
    <row r="1849" s="430" customFormat="1" x14ac:dyDescent="0.3"/>
    <row r="1850" s="430" customFormat="1" x14ac:dyDescent="0.3"/>
    <row r="1851" s="430" customFormat="1" x14ac:dyDescent="0.3"/>
    <row r="1852" s="430" customFormat="1" x14ac:dyDescent="0.3"/>
    <row r="1853" s="430" customFormat="1" x14ac:dyDescent="0.3"/>
    <row r="1854" s="430" customFormat="1" x14ac:dyDescent="0.3"/>
    <row r="1855" s="430" customFormat="1" x14ac:dyDescent="0.3"/>
    <row r="1856" s="430" customFormat="1" x14ac:dyDescent="0.3"/>
    <row r="1857" s="430" customFormat="1" x14ac:dyDescent="0.3"/>
    <row r="1858" s="430" customFormat="1" x14ac:dyDescent="0.3"/>
    <row r="1859" s="430" customFormat="1" x14ac:dyDescent="0.3"/>
    <row r="1860" s="430" customFormat="1" x14ac:dyDescent="0.3"/>
    <row r="1861" s="430" customFormat="1" x14ac:dyDescent="0.3"/>
    <row r="1862" s="430" customFormat="1" x14ac:dyDescent="0.3"/>
    <row r="1863" s="430" customFormat="1" x14ac:dyDescent="0.3"/>
    <row r="1864" s="430" customFormat="1" x14ac:dyDescent="0.3"/>
    <row r="1865" s="430" customFormat="1" x14ac:dyDescent="0.3"/>
    <row r="1866" s="430" customFormat="1" x14ac:dyDescent="0.3"/>
    <row r="1867" s="430" customFormat="1" x14ac:dyDescent="0.3"/>
    <row r="1868" s="430" customFormat="1" x14ac:dyDescent="0.3"/>
    <row r="1869" s="430" customFormat="1" x14ac:dyDescent="0.3"/>
    <row r="1870" s="430" customFormat="1" x14ac:dyDescent="0.3"/>
    <row r="1871" s="430" customFormat="1" x14ac:dyDescent="0.3"/>
    <row r="1872" s="430" customFormat="1" x14ac:dyDescent="0.3"/>
    <row r="1873" s="430" customFormat="1" x14ac:dyDescent="0.3"/>
    <row r="1874" s="430" customFormat="1" x14ac:dyDescent="0.3"/>
    <row r="1875" s="430" customFormat="1" x14ac:dyDescent="0.3"/>
    <row r="1876" s="430" customFormat="1" x14ac:dyDescent="0.3"/>
    <row r="1877" s="430" customFormat="1" x14ac:dyDescent="0.3"/>
    <row r="1878" s="430" customFormat="1" x14ac:dyDescent="0.3"/>
    <row r="1879" s="430" customFormat="1" x14ac:dyDescent="0.3"/>
    <row r="1880" s="430" customFormat="1" x14ac:dyDescent="0.3"/>
    <row r="1881" s="430" customFormat="1" x14ac:dyDescent="0.3"/>
    <row r="1882" s="430" customFormat="1" x14ac:dyDescent="0.3"/>
    <row r="1883" s="430" customFormat="1" x14ac:dyDescent="0.3"/>
    <row r="1884" s="430" customFormat="1" x14ac:dyDescent="0.3"/>
    <row r="1885" s="430" customFormat="1" x14ac:dyDescent="0.3"/>
    <row r="1886" s="430" customFormat="1" x14ac:dyDescent="0.3"/>
    <row r="1887" s="430" customFormat="1" x14ac:dyDescent="0.3"/>
    <row r="1888" s="430" customFormat="1" x14ac:dyDescent="0.3"/>
    <row r="1889" s="430" customFormat="1" x14ac:dyDescent="0.3"/>
    <row r="1890" s="430" customFormat="1" x14ac:dyDescent="0.3"/>
    <row r="1891" s="430" customFormat="1" x14ac:dyDescent="0.3"/>
    <row r="1892" s="430" customFormat="1" x14ac:dyDescent="0.3"/>
    <row r="1893" s="430" customFormat="1" x14ac:dyDescent="0.3"/>
    <row r="1894" s="430" customFormat="1" x14ac:dyDescent="0.3"/>
    <row r="1895" s="430" customFormat="1" x14ac:dyDescent="0.3"/>
    <row r="1896" s="430" customFormat="1" x14ac:dyDescent="0.3"/>
    <row r="1897" s="430" customFormat="1" x14ac:dyDescent="0.3"/>
    <row r="1898" s="430" customFormat="1" x14ac:dyDescent="0.3"/>
    <row r="1899" s="430" customFormat="1" x14ac:dyDescent="0.3"/>
    <row r="1900" s="430" customFormat="1" x14ac:dyDescent="0.3"/>
    <row r="1901" s="430" customFormat="1" x14ac:dyDescent="0.3"/>
    <row r="1902" s="430" customFormat="1" x14ac:dyDescent="0.3"/>
    <row r="1903" s="430" customFormat="1" x14ac:dyDescent="0.3"/>
    <row r="1904" s="430" customFormat="1" x14ac:dyDescent="0.3"/>
    <row r="1905" s="430" customFormat="1" x14ac:dyDescent="0.3"/>
    <row r="1906" s="430" customFormat="1" x14ac:dyDescent="0.3"/>
    <row r="1907" s="430" customFormat="1" x14ac:dyDescent="0.3"/>
    <row r="1908" s="430" customFormat="1" x14ac:dyDescent="0.3"/>
    <row r="1909" s="430" customFormat="1" x14ac:dyDescent="0.3"/>
    <row r="1910" s="430" customFormat="1" x14ac:dyDescent="0.3"/>
    <row r="1911" s="430" customFormat="1" x14ac:dyDescent="0.3"/>
    <row r="1912" s="430" customFormat="1" x14ac:dyDescent="0.3"/>
    <row r="1913" s="430" customFormat="1" x14ac:dyDescent="0.3"/>
    <row r="1914" s="430" customFormat="1" x14ac:dyDescent="0.3"/>
    <row r="1915" s="430" customFormat="1" x14ac:dyDescent="0.3"/>
    <row r="1916" s="430" customFormat="1" x14ac:dyDescent="0.3"/>
    <row r="1917" s="430" customFormat="1" x14ac:dyDescent="0.3"/>
    <row r="1918" s="430" customFormat="1" x14ac:dyDescent="0.3"/>
    <row r="1919" s="430" customFormat="1" x14ac:dyDescent="0.3"/>
    <row r="1920" s="430" customFormat="1" x14ac:dyDescent="0.3"/>
    <row r="1921" s="430" customFormat="1" x14ac:dyDescent="0.3"/>
    <row r="1922" s="430" customFormat="1" x14ac:dyDescent="0.3"/>
    <row r="1923" s="430" customFormat="1" x14ac:dyDescent="0.3"/>
    <row r="1924" s="430" customFormat="1" x14ac:dyDescent="0.3"/>
    <row r="1925" s="430" customFormat="1" x14ac:dyDescent="0.3"/>
    <row r="1926" s="430" customFormat="1" x14ac:dyDescent="0.3"/>
    <row r="1927" s="430" customFormat="1" x14ac:dyDescent="0.3"/>
    <row r="1928" s="430" customFormat="1" x14ac:dyDescent="0.3"/>
    <row r="1929" s="430" customFormat="1" x14ac:dyDescent="0.3"/>
    <row r="1930" s="430" customFormat="1" x14ac:dyDescent="0.3"/>
    <row r="1931" s="430" customFormat="1" x14ac:dyDescent="0.3"/>
    <row r="1932" s="430" customFormat="1" x14ac:dyDescent="0.3"/>
    <row r="1933" s="430" customFormat="1" x14ac:dyDescent="0.3"/>
    <row r="1934" s="430" customFormat="1" x14ac:dyDescent="0.3"/>
    <row r="1935" s="430" customFormat="1" x14ac:dyDescent="0.3"/>
    <row r="1936" s="430" customFormat="1" x14ac:dyDescent="0.3"/>
    <row r="1937" s="430" customFormat="1" x14ac:dyDescent="0.3"/>
    <row r="1938" s="430" customFormat="1" x14ac:dyDescent="0.3"/>
    <row r="1939" s="430" customFormat="1" x14ac:dyDescent="0.3"/>
    <row r="1940" s="430" customFormat="1" x14ac:dyDescent="0.3"/>
    <row r="1941" s="430" customFormat="1" x14ac:dyDescent="0.3"/>
    <row r="1942" s="430" customFormat="1" x14ac:dyDescent="0.3"/>
    <row r="1943" s="430" customFormat="1" x14ac:dyDescent="0.3"/>
    <row r="1944" s="430" customFormat="1" x14ac:dyDescent="0.3"/>
    <row r="1945" s="430" customFormat="1" x14ac:dyDescent="0.3"/>
    <row r="1946" s="430" customFormat="1" x14ac:dyDescent="0.3"/>
    <row r="1947" s="430" customFormat="1" x14ac:dyDescent="0.3"/>
    <row r="1948" s="430" customFormat="1" x14ac:dyDescent="0.3"/>
    <row r="1949" s="430" customFormat="1" x14ac:dyDescent="0.3"/>
    <row r="1950" s="430" customFormat="1" x14ac:dyDescent="0.3"/>
    <row r="1951" s="430" customFormat="1" x14ac:dyDescent="0.3"/>
    <row r="1952" s="430" customFormat="1" x14ac:dyDescent="0.3"/>
    <row r="1953" s="430" customFormat="1" x14ac:dyDescent="0.3"/>
    <row r="1954" s="430" customFormat="1" x14ac:dyDescent="0.3"/>
    <row r="1955" s="430" customFormat="1" x14ac:dyDescent="0.3"/>
    <row r="1956" s="430" customFormat="1" x14ac:dyDescent="0.3"/>
    <row r="1957" s="430" customFormat="1" x14ac:dyDescent="0.3"/>
    <row r="1958" s="430" customFormat="1" x14ac:dyDescent="0.3"/>
    <row r="1959" s="430" customFormat="1" x14ac:dyDescent="0.3"/>
    <row r="1960" s="430" customFormat="1" x14ac:dyDescent="0.3"/>
    <row r="1961" s="430" customFormat="1" x14ac:dyDescent="0.3"/>
    <row r="1962" s="430" customFormat="1" x14ac:dyDescent="0.3"/>
    <row r="1963" s="430" customFormat="1" x14ac:dyDescent="0.3"/>
    <row r="1964" s="430" customFormat="1" x14ac:dyDescent="0.3"/>
    <row r="1965" s="430" customFormat="1" x14ac:dyDescent="0.3"/>
    <row r="1966" s="430" customFormat="1" x14ac:dyDescent="0.3"/>
    <row r="1967" s="430" customFormat="1" x14ac:dyDescent="0.3"/>
    <row r="1968" s="430" customFormat="1" x14ac:dyDescent="0.3"/>
    <row r="1969" s="430" customFormat="1" x14ac:dyDescent="0.3"/>
    <row r="1970" s="430" customFormat="1" x14ac:dyDescent="0.3"/>
    <row r="1971" s="430" customFormat="1" x14ac:dyDescent="0.3"/>
    <row r="1972" s="430" customFormat="1" x14ac:dyDescent="0.3"/>
    <row r="1973" s="430" customFormat="1" x14ac:dyDescent="0.3"/>
    <row r="1974" s="430" customFormat="1" x14ac:dyDescent="0.3"/>
    <row r="1975" s="430" customFormat="1" x14ac:dyDescent="0.3"/>
    <row r="1976" s="430" customFormat="1" x14ac:dyDescent="0.3"/>
    <row r="1977" s="430" customFormat="1" x14ac:dyDescent="0.3"/>
    <row r="1978" s="430" customFormat="1" x14ac:dyDescent="0.3"/>
    <row r="1979" s="430" customFormat="1" x14ac:dyDescent="0.3"/>
    <row r="1980" s="430" customFormat="1" x14ac:dyDescent="0.3"/>
    <row r="1981" s="430" customFormat="1" x14ac:dyDescent="0.3"/>
    <row r="1982" s="430" customFormat="1" x14ac:dyDescent="0.3"/>
    <row r="1983" s="430" customFormat="1" x14ac:dyDescent="0.3"/>
    <row r="1984" s="430" customFormat="1" x14ac:dyDescent="0.3"/>
    <row r="1985" s="430" customFormat="1" x14ac:dyDescent="0.3"/>
    <row r="1986" s="430" customFormat="1" x14ac:dyDescent="0.3"/>
    <row r="1987" s="430" customFormat="1" x14ac:dyDescent="0.3"/>
    <row r="1988" s="430" customFormat="1" x14ac:dyDescent="0.3"/>
    <row r="1989" s="430" customFormat="1" x14ac:dyDescent="0.3"/>
    <row r="1990" s="430" customFormat="1" x14ac:dyDescent="0.3"/>
    <row r="1991" s="430" customFormat="1" x14ac:dyDescent="0.3"/>
    <row r="1992" s="430" customFormat="1" x14ac:dyDescent="0.3"/>
    <row r="1993" s="430" customFormat="1" x14ac:dyDescent="0.3"/>
    <row r="1994" s="430" customFormat="1" x14ac:dyDescent="0.3"/>
    <row r="1995" s="430" customFormat="1" x14ac:dyDescent="0.3"/>
    <row r="1996" s="430" customFormat="1" x14ac:dyDescent="0.3"/>
    <row r="1997" s="430" customFormat="1" x14ac:dyDescent="0.3"/>
    <row r="1998" s="430" customFormat="1" x14ac:dyDescent="0.3"/>
    <row r="1999" s="430" customFormat="1" x14ac:dyDescent="0.3"/>
    <row r="2000" s="430" customFormat="1" x14ac:dyDescent="0.3"/>
    <row r="2001" s="430" customFormat="1" x14ac:dyDescent="0.3"/>
    <row r="2002" s="430" customFormat="1" x14ac:dyDescent="0.3"/>
    <row r="2003" s="430" customFormat="1" x14ac:dyDescent="0.3"/>
    <row r="2004" s="430" customFormat="1" x14ac:dyDescent="0.3"/>
    <row r="2005" s="430" customFormat="1" x14ac:dyDescent="0.3"/>
    <row r="2006" s="430" customFormat="1" x14ac:dyDescent="0.3"/>
    <row r="2007" s="430" customFormat="1" x14ac:dyDescent="0.3"/>
    <row r="2008" s="430" customFormat="1" x14ac:dyDescent="0.3"/>
    <row r="2009" s="430" customFormat="1" x14ac:dyDescent="0.3"/>
    <row r="2010" s="430" customFormat="1" x14ac:dyDescent="0.3"/>
    <row r="2011" s="430" customFormat="1" x14ac:dyDescent="0.3"/>
    <row r="2012" s="430" customFormat="1" x14ac:dyDescent="0.3"/>
    <row r="2013" s="430" customFormat="1" x14ac:dyDescent="0.3"/>
    <row r="2014" s="430" customFormat="1" x14ac:dyDescent="0.3"/>
    <row r="2015" s="430" customFormat="1" x14ac:dyDescent="0.3"/>
    <row r="2016" s="430" customFormat="1" x14ac:dyDescent="0.3"/>
    <row r="2017" s="430" customFormat="1" x14ac:dyDescent="0.3"/>
    <row r="2018" s="430" customFormat="1" x14ac:dyDescent="0.3"/>
    <row r="2019" s="430" customFormat="1" x14ac:dyDescent="0.3"/>
    <row r="2020" s="430" customFormat="1" x14ac:dyDescent="0.3"/>
    <row r="2021" s="430" customFormat="1" x14ac:dyDescent="0.3"/>
    <row r="2022" s="430" customFormat="1" x14ac:dyDescent="0.3"/>
    <row r="2023" s="430" customFormat="1" x14ac:dyDescent="0.3"/>
    <row r="2024" s="430" customFormat="1" x14ac:dyDescent="0.3"/>
    <row r="2025" s="430" customFormat="1" x14ac:dyDescent="0.3"/>
    <row r="2026" s="430" customFormat="1" x14ac:dyDescent="0.3"/>
    <row r="2027" s="430" customFormat="1" x14ac:dyDescent="0.3"/>
    <row r="2028" s="430" customFormat="1" x14ac:dyDescent="0.3"/>
    <row r="2029" s="430" customFormat="1" x14ac:dyDescent="0.3"/>
    <row r="2030" s="430" customFormat="1" x14ac:dyDescent="0.3"/>
    <row r="2031" s="430" customFormat="1" x14ac:dyDescent="0.3"/>
    <row r="2032" s="430" customFormat="1" x14ac:dyDescent="0.3"/>
    <row r="2033" s="430" customFormat="1" x14ac:dyDescent="0.3"/>
    <row r="2034" s="430" customFormat="1" x14ac:dyDescent="0.3"/>
    <row r="2035" s="430" customFormat="1" x14ac:dyDescent="0.3"/>
    <row r="2036" s="430" customFormat="1" x14ac:dyDescent="0.3"/>
    <row r="2037" s="430" customFormat="1" x14ac:dyDescent="0.3"/>
    <row r="2038" s="430" customFormat="1" x14ac:dyDescent="0.3"/>
    <row r="2039" s="430" customFormat="1" x14ac:dyDescent="0.3"/>
    <row r="2040" s="430" customFormat="1" x14ac:dyDescent="0.3"/>
    <row r="2041" s="430" customFormat="1" x14ac:dyDescent="0.3"/>
    <row r="2042" s="430" customFormat="1" x14ac:dyDescent="0.3"/>
    <row r="2043" s="430" customFormat="1" x14ac:dyDescent="0.3"/>
    <row r="2044" s="430" customFormat="1" x14ac:dyDescent="0.3"/>
    <row r="2045" s="430" customFormat="1" x14ac:dyDescent="0.3"/>
    <row r="2046" s="430" customFormat="1" x14ac:dyDescent="0.3"/>
    <row r="2047" s="430" customFormat="1" x14ac:dyDescent="0.3"/>
    <row r="2048" s="430" customFormat="1" x14ac:dyDescent="0.3"/>
    <row r="2049" s="430" customFormat="1" x14ac:dyDescent="0.3"/>
    <row r="2050" s="430" customFormat="1" x14ac:dyDescent="0.3"/>
    <row r="2051" s="430" customFormat="1" x14ac:dyDescent="0.3"/>
    <row r="2052" s="430" customFormat="1" x14ac:dyDescent="0.3"/>
    <row r="2053" s="430" customFormat="1" x14ac:dyDescent="0.3"/>
    <row r="2054" s="430" customFormat="1" x14ac:dyDescent="0.3"/>
    <row r="2055" s="430" customFormat="1" x14ac:dyDescent="0.3"/>
    <row r="2056" s="430" customFormat="1" x14ac:dyDescent="0.3"/>
    <row r="2057" s="430" customFormat="1" x14ac:dyDescent="0.3"/>
    <row r="2058" s="430" customFormat="1" x14ac:dyDescent="0.3"/>
    <row r="2059" s="430" customFormat="1" x14ac:dyDescent="0.3"/>
    <row r="2060" s="430" customFormat="1" x14ac:dyDescent="0.3"/>
    <row r="2061" s="430" customFormat="1" x14ac:dyDescent="0.3"/>
    <row r="2062" s="430" customFormat="1" x14ac:dyDescent="0.3"/>
    <row r="2063" s="430" customFormat="1" x14ac:dyDescent="0.3"/>
    <row r="2064" s="430" customFormat="1" x14ac:dyDescent="0.3"/>
    <row r="2065" s="430" customFormat="1" x14ac:dyDescent="0.3"/>
    <row r="2066" s="430" customFormat="1" x14ac:dyDescent="0.3"/>
    <row r="2067" s="430" customFormat="1" x14ac:dyDescent="0.3"/>
    <row r="2068" s="430" customFormat="1" x14ac:dyDescent="0.3"/>
    <row r="2069" s="430" customFormat="1" x14ac:dyDescent="0.3"/>
    <row r="2070" s="430" customFormat="1" x14ac:dyDescent="0.3"/>
    <row r="2071" s="430" customFormat="1" x14ac:dyDescent="0.3"/>
    <row r="2072" s="430" customFormat="1" x14ac:dyDescent="0.3"/>
    <row r="2073" s="430" customFormat="1" x14ac:dyDescent="0.3"/>
    <row r="2074" s="430" customFormat="1" x14ac:dyDescent="0.3"/>
    <row r="2075" s="430" customFormat="1" x14ac:dyDescent="0.3"/>
    <row r="2076" s="430" customFormat="1" x14ac:dyDescent="0.3"/>
    <row r="2077" s="430" customFormat="1" x14ac:dyDescent="0.3"/>
    <row r="2078" s="430" customFormat="1" x14ac:dyDescent="0.3"/>
    <row r="2079" s="430" customFormat="1" x14ac:dyDescent="0.3"/>
    <row r="2080" s="430" customFormat="1" x14ac:dyDescent="0.3"/>
    <row r="2081" s="430" customFormat="1" x14ac:dyDescent="0.3"/>
    <row r="2082" s="430" customFormat="1" x14ac:dyDescent="0.3"/>
    <row r="2083" s="430" customFormat="1" x14ac:dyDescent="0.3"/>
    <row r="2084" s="430" customFormat="1" x14ac:dyDescent="0.3"/>
    <row r="2085" s="430" customFormat="1" x14ac:dyDescent="0.3"/>
    <row r="2086" s="430" customFormat="1" x14ac:dyDescent="0.3"/>
    <row r="2087" s="430" customFormat="1" x14ac:dyDescent="0.3"/>
    <row r="2088" s="430" customFormat="1" x14ac:dyDescent="0.3"/>
    <row r="2089" s="430" customFormat="1" x14ac:dyDescent="0.3"/>
    <row r="2090" s="430" customFormat="1" x14ac:dyDescent="0.3"/>
    <row r="2091" s="430" customFormat="1" x14ac:dyDescent="0.3"/>
    <row r="2092" s="430" customFormat="1" x14ac:dyDescent="0.3"/>
    <row r="2093" s="430" customFormat="1" x14ac:dyDescent="0.3"/>
    <row r="2094" s="430" customFormat="1" x14ac:dyDescent="0.3"/>
    <row r="2095" s="430" customFormat="1" x14ac:dyDescent="0.3"/>
    <row r="2096" s="430" customFormat="1" x14ac:dyDescent="0.3"/>
    <row r="2097" s="430" customFormat="1" x14ac:dyDescent="0.3"/>
    <row r="2098" s="430" customFormat="1" x14ac:dyDescent="0.3"/>
    <row r="2099" s="430" customFormat="1" x14ac:dyDescent="0.3"/>
    <row r="2100" s="430" customFormat="1" x14ac:dyDescent="0.3"/>
    <row r="2101" s="430" customFormat="1" x14ac:dyDescent="0.3"/>
    <row r="2102" s="430" customFormat="1" x14ac:dyDescent="0.3"/>
    <row r="2103" s="430" customFormat="1" x14ac:dyDescent="0.3"/>
    <row r="2104" s="430" customFormat="1" x14ac:dyDescent="0.3"/>
    <row r="2105" s="430" customFormat="1" x14ac:dyDescent="0.3"/>
    <row r="2106" s="430" customFormat="1" x14ac:dyDescent="0.3"/>
    <row r="2107" s="430" customFormat="1" x14ac:dyDescent="0.3"/>
    <row r="2108" s="430" customFormat="1" x14ac:dyDescent="0.3"/>
    <row r="2109" s="430" customFormat="1" x14ac:dyDescent="0.3"/>
    <row r="2110" s="430" customFormat="1" x14ac:dyDescent="0.3"/>
    <row r="2111" s="430" customFormat="1" x14ac:dyDescent="0.3"/>
    <row r="2112" s="430" customFormat="1" x14ac:dyDescent="0.3"/>
    <row r="2113" s="430" customFormat="1" x14ac:dyDescent="0.3"/>
    <row r="2114" s="430" customFormat="1" x14ac:dyDescent="0.3"/>
    <row r="2115" s="430" customFormat="1" x14ac:dyDescent="0.3"/>
    <row r="2116" s="430" customFormat="1" x14ac:dyDescent="0.3"/>
    <row r="2117" s="430" customFormat="1" x14ac:dyDescent="0.3"/>
    <row r="2118" s="430" customFormat="1" x14ac:dyDescent="0.3"/>
    <row r="2119" s="430" customFormat="1" x14ac:dyDescent="0.3"/>
    <row r="2120" s="430" customFormat="1" x14ac:dyDescent="0.3"/>
    <row r="2121" s="430" customFormat="1" x14ac:dyDescent="0.3"/>
    <row r="2122" s="430" customFormat="1" x14ac:dyDescent="0.3"/>
    <row r="2123" s="430" customFormat="1" x14ac:dyDescent="0.3"/>
    <row r="2124" s="430" customFormat="1" x14ac:dyDescent="0.3"/>
    <row r="2125" s="430" customFormat="1" x14ac:dyDescent="0.3"/>
    <row r="2126" s="430" customFormat="1" x14ac:dyDescent="0.3"/>
    <row r="2127" s="430" customFormat="1" x14ac:dyDescent="0.3"/>
    <row r="2128" s="430" customFormat="1" x14ac:dyDescent="0.3"/>
    <row r="2129" s="430" customFormat="1" x14ac:dyDescent="0.3"/>
    <row r="2130" s="430" customFormat="1" x14ac:dyDescent="0.3"/>
    <row r="2131" s="430" customFormat="1" x14ac:dyDescent="0.3"/>
    <row r="2132" s="430" customFormat="1" x14ac:dyDescent="0.3"/>
    <row r="2133" s="430" customFormat="1" x14ac:dyDescent="0.3"/>
    <row r="2134" s="430" customFormat="1" x14ac:dyDescent="0.3"/>
    <row r="2135" s="430" customFormat="1" x14ac:dyDescent="0.3"/>
    <row r="2136" s="430" customFormat="1" x14ac:dyDescent="0.3"/>
    <row r="2137" s="430" customFormat="1" x14ac:dyDescent="0.3"/>
    <row r="2138" s="430" customFormat="1" x14ac:dyDescent="0.3"/>
    <row r="2139" s="430" customFormat="1" x14ac:dyDescent="0.3"/>
    <row r="2140" s="430" customFormat="1" x14ac:dyDescent="0.3"/>
    <row r="2141" s="430" customFormat="1" x14ac:dyDescent="0.3"/>
    <row r="2142" s="430" customFormat="1" x14ac:dyDescent="0.3"/>
    <row r="2143" s="430" customFormat="1" x14ac:dyDescent="0.3"/>
    <row r="2144" s="430" customFormat="1" x14ac:dyDescent="0.3"/>
    <row r="2145" s="430" customFormat="1" x14ac:dyDescent="0.3"/>
    <row r="2146" s="430" customFormat="1" x14ac:dyDescent="0.3"/>
    <row r="2147" s="430" customFormat="1" x14ac:dyDescent="0.3"/>
    <row r="2148" s="430" customFormat="1" x14ac:dyDescent="0.3"/>
    <row r="2149" s="430" customFormat="1" x14ac:dyDescent="0.3"/>
    <row r="2150" s="430" customFormat="1" x14ac:dyDescent="0.3"/>
    <row r="2151" s="430" customFormat="1" x14ac:dyDescent="0.3"/>
    <row r="2152" s="430" customFormat="1" x14ac:dyDescent="0.3"/>
    <row r="2153" s="430" customFormat="1" x14ac:dyDescent="0.3"/>
    <row r="2154" s="430" customFormat="1" x14ac:dyDescent="0.3"/>
    <row r="2155" s="430" customFormat="1" x14ac:dyDescent="0.3"/>
    <row r="2156" s="430" customFormat="1" x14ac:dyDescent="0.3"/>
    <row r="2157" s="430" customFormat="1" x14ac:dyDescent="0.3"/>
    <row r="2158" s="430" customFormat="1" x14ac:dyDescent="0.3"/>
    <row r="2159" s="430" customFormat="1" x14ac:dyDescent="0.3"/>
    <row r="2160" s="430" customFormat="1" x14ac:dyDescent="0.3"/>
    <row r="2161" s="430" customFormat="1" x14ac:dyDescent="0.3"/>
    <row r="2162" s="430" customFormat="1" x14ac:dyDescent="0.3"/>
    <row r="2163" s="430" customFormat="1" x14ac:dyDescent="0.3"/>
    <row r="2164" s="430" customFormat="1" x14ac:dyDescent="0.3"/>
    <row r="2165" s="430" customFormat="1" x14ac:dyDescent="0.3"/>
    <row r="2166" s="430" customFormat="1" x14ac:dyDescent="0.3"/>
    <row r="2167" s="430" customFormat="1" x14ac:dyDescent="0.3"/>
    <row r="2168" s="430" customFormat="1" x14ac:dyDescent="0.3"/>
    <row r="2169" s="430" customFormat="1" x14ac:dyDescent="0.3"/>
    <row r="2170" s="430" customFormat="1" x14ac:dyDescent="0.3"/>
    <row r="2171" s="430" customFormat="1" x14ac:dyDescent="0.3"/>
    <row r="2172" s="430" customFormat="1" x14ac:dyDescent="0.3"/>
    <row r="2173" s="430" customFormat="1" x14ac:dyDescent="0.3"/>
    <row r="2174" s="430" customFormat="1" x14ac:dyDescent="0.3"/>
    <row r="2175" s="430" customFormat="1" x14ac:dyDescent="0.3"/>
    <row r="2176" s="430" customFormat="1" x14ac:dyDescent="0.3"/>
    <row r="2177" s="430" customFormat="1" x14ac:dyDescent="0.3"/>
    <row r="2178" s="430" customFormat="1" x14ac:dyDescent="0.3"/>
    <row r="2179" s="430" customFormat="1" x14ac:dyDescent="0.3"/>
    <row r="2180" s="430" customFormat="1" x14ac:dyDescent="0.3"/>
    <row r="2181" s="430" customFormat="1" x14ac:dyDescent="0.3"/>
    <row r="2182" s="430" customFormat="1" x14ac:dyDescent="0.3"/>
    <row r="2183" s="430" customFormat="1" x14ac:dyDescent="0.3"/>
    <row r="2184" s="430" customFormat="1" x14ac:dyDescent="0.3"/>
    <row r="2185" s="430" customFormat="1" x14ac:dyDescent="0.3"/>
    <row r="2186" s="430" customFormat="1" x14ac:dyDescent="0.3"/>
    <row r="2187" s="430" customFormat="1" x14ac:dyDescent="0.3"/>
    <row r="2188" s="430" customFormat="1" x14ac:dyDescent="0.3"/>
    <row r="2189" s="430" customFormat="1" x14ac:dyDescent="0.3"/>
    <row r="2190" s="430" customFormat="1" x14ac:dyDescent="0.3"/>
    <row r="2191" s="430" customFormat="1" x14ac:dyDescent="0.3"/>
    <row r="2192" s="430" customFormat="1" x14ac:dyDescent="0.3"/>
    <row r="2193" s="430" customFormat="1" x14ac:dyDescent="0.3"/>
    <row r="2194" s="430" customFormat="1" x14ac:dyDescent="0.3"/>
    <row r="2195" s="430" customFormat="1" x14ac:dyDescent="0.3"/>
    <row r="2196" s="430" customFormat="1" x14ac:dyDescent="0.3"/>
    <row r="2197" s="430" customFormat="1" x14ac:dyDescent="0.3"/>
    <row r="2198" s="430" customFormat="1" x14ac:dyDescent="0.3"/>
    <row r="2199" s="430" customFormat="1" x14ac:dyDescent="0.3"/>
    <row r="2200" s="430" customFormat="1" x14ac:dyDescent="0.3"/>
    <row r="2201" s="430" customFormat="1" x14ac:dyDescent="0.3"/>
    <row r="2202" s="430" customFormat="1" x14ac:dyDescent="0.3"/>
    <row r="2203" s="430" customFormat="1" x14ac:dyDescent="0.3"/>
    <row r="2204" s="430" customFormat="1" x14ac:dyDescent="0.3"/>
    <row r="2205" s="430" customFormat="1" x14ac:dyDescent="0.3"/>
    <row r="2206" s="430" customFormat="1" x14ac:dyDescent="0.3"/>
    <row r="2207" s="430" customFormat="1" x14ac:dyDescent="0.3"/>
    <row r="2208" s="430" customFormat="1" x14ac:dyDescent="0.3"/>
    <row r="2209" s="430" customFormat="1" x14ac:dyDescent="0.3"/>
    <row r="2210" s="430" customFormat="1" x14ac:dyDescent="0.3"/>
    <row r="2211" s="430" customFormat="1" x14ac:dyDescent="0.3"/>
    <row r="2212" s="430" customFormat="1" x14ac:dyDescent="0.3"/>
    <row r="2213" s="430" customFormat="1" x14ac:dyDescent="0.3"/>
    <row r="2214" s="430" customFormat="1" x14ac:dyDescent="0.3"/>
    <row r="2215" s="430" customFormat="1" x14ac:dyDescent="0.3"/>
    <row r="2216" s="430" customFormat="1" x14ac:dyDescent="0.3"/>
    <row r="2217" s="430" customFormat="1" x14ac:dyDescent="0.3"/>
    <row r="2218" s="430" customFormat="1" x14ac:dyDescent="0.3"/>
    <row r="2219" s="430" customFormat="1" x14ac:dyDescent="0.3"/>
    <row r="2220" s="430" customFormat="1" x14ac:dyDescent="0.3"/>
    <row r="2221" s="430" customFormat="1" x14ac:dyDescent="0.3"/>
    <row r="2222" s="430" customFormat="1" x14ac:dyDescent="0.3"/>
    <row r="2223" s="430" customFormat="1" x14ac:dyDescent="0.3"/>
    <row r="2224" s="430" customFormat="1" x14ac:dyDescent="0.3"/>
    <row r="2225" s="430" customFormat="1" x14ac:dyDescent="0.3"/>
    <row r="2226" s="430" customFormat="1" x14ac:dyDescent="0.3"/>
    <row r="2227" s="430" customFormat="1" x14ac:dyDescent="0.3"/>
    <row r="2228" s="430" customFormat="1" x14ac:dyDescent="0.3"/>
    <row r="2229" s="430" customFormat="1" x14ac:dyDescent="0.3"/>
    <row r="2230" s="430" customFormat="1" x14ac:dyDescent="0.3"/>
    <row r="2231" s="430" customFormat="1" x14ac:dyDescent="0.3"/>
    <row r="2232" s="430" customFormat="1" x14ac:dyDescent="0.3"/>
    <row r="2233" s="430" customFormat="1" x14ac:dyDescent="0.3"/>
    <row r="2234" s="430" customFormat="1" x14ac:dyDescent="0.3"/>
    <row r="2235" s="430" customFormat="1" x14ac:dyDescent="0.3"/>
    <row r="2236" s="430" customFormat="1" x14ac:dyDescent="0.3"/>
    <row r="2237" s="430" customFormat="1" x14ac:dyDescent="0.3"/>
    <row r="2238" s="430" customFormat="1" x14ac:dyDescent="0.3"/>
    <row r="2239" s="430" customFormat="1" x14ac:dyDescent="0.3"/>
    <row r="2240" s="430" customFormat="1" x14ac:dyDescent="0.3"/>
    <row r="2241" s="430" customFormat="1" x14ac:dyDescent="0.3"/>
    <row r="2242" s="430" customFormat="1" x14ac:dyDescent="0.3"/>
    <row r="2243" s="430" customFormat="1" x14ac:dyDescent="0.3"/>
    <row r="2244" s="430" customFormat="1" x14ac:dyDescent="0.3"/>
    <row r="2245" s="430" customFormat="1" x14ac:dyDescent="0.3"/>
    <row r="2246" s="430" customFormat="1" x14ac:dyDescent="0.3"/>
    <row r="2247" s="430" customFormat="1" x14ac:dyDescent="0.3"/>
    <row r="2248" s="430" customFormat="1" x14ac:dyDescent="0.3"/>
    <row r="2249" s="430" customFormat="1" x14ac:dyDescent="0.3"/>
    <row r="2250" s="430" customFormat="1" x14ac:dyDescent="0.3"/>
    <row r="2251" s="430" customFormat="1" x14ac:dyDescent="0.3"/>
    <row r="2252" s="430" customFormat="1" x14ac:dyDescent="0.3"/>
    <row r="2253" s="430" customFormat="1" x14ac:dyDescent="0.3"/>
    <row r="2254" s="430" customFormat="1" x14ac:dyDescent="0.3"/>
    <row r="2255" s="430" customFormat="1" x14ac:dyDescent="0.3"/>
    <row r="2256" s="430" customFormat="1" x14ac:dyDescent="0.3"/>
    <row r="2257" s="430" customFormat="1" x14ac:dyDescent="0.3"/>
    <row r="2258" s="430" customFormat="1" x14ac:dyDescent="0.3"/>
    <row r="2259" s="430" customFormat="1" x14ac:dyDescent="0.3"/>
    <row r="2260" s="430" customFormat="1" x14ac:dyDescent="0.3"/>
    <row r="2261" s="430" customFormat="1" x14ac:dyDescent="0.3"/>
    <row r="2262" s="430" customFormat="1" x14ac:dyDescent="0.3"/>
    <row r="2263" s="430" customFormat="1" x14ac:dyDescent="0.3"/>
    <row r="2264" s="430" customFormat="1" x14ac:dyDescent="0.3"/>
    <row r="2265" s="430" customFormat="1" x14ac:dyDescent="0.3"/>
    <row r="2266" s="430" customFormat="1" x14ac:dyDescent="0.3"/>
    <row r="2267" s="430" customFormat="1" x14ac:dyDescent="0.3"/>
    <row r="2268" s="430" customFormat="1" x14ac:dyDescent="0.3"/>
    <row r="2269" s="430" customFormat="1" x14ac:dyDescent="0.3"/>
    <row r="2270" s="430" customFormat="1" x14ac:dyDescent="0.3"/>
    <row r="2271" s="430" customFormat="1" x14ac:dyDescent="0.3"/>
    <row r="2272" s="430" customFormat="1" x14ac:dyDescent="0.3"/>
    <row r="2273" s="430" customFormat="1" x14ac:dyDescent="0.3"/>
    <row r="2274" s="430" customFormat="1" x14ac:dyDescent="0.3"/>
    <row r="2275" s="430" customFormat="1" x14ac:dyDescent="0.3"/>
    <row r="2276" s="430" customFormat="1" x14ac:dyDescent="0.3"/>
    <row r="2277" s="430" customFormat="1" x14ac:dyDescent="0.3"/>
    <row r="2278" s="430" customFormat="1" x14ac:dyDescent="0.3"/>
    <row r="2279" s="430" customFormat="1" x14ac:dyDescent="0.3"/>
    <row r="2280" s="430" customFormat="1" x14ac:dyDescent="0.3"/>
    <row r="2281" s="430" customFormat="1" x14ac:dyDescent="0.3"/>
    <row r="2282" s="430" customFormat="1" x14ac:dyDescent="0.3"/>
    <row r="2283" s="430" customFormat="1" x14ac:dyDescent="0.3"/>
    <row r="2284" s="430" customFormat="1" x14ac:dyDescent="0.3"/>
    <row r="2285" s="430" customFormat="1" x14ac:dyDescent="0.3"/>
    <row r="2286" s="430" customFormat="1" x14ac:dyDescent="0.3"/>
    <row r="2287" s="430" customFormat="1" x14ac:dyDescent="0.3"/>
    <row r="2288" s="430" customFormat="1" x14ac:dyDescent="0.3"/>
    <row r="2289" s="430" customFormat="1" x14ac:dyDescent="0.3"/>
    <row r="2290" s="430" customFormat="1" x14ac:dyDescent="0.3"/>
    <row r="2291" s="430" customFormat="1" x14ac:dyDescent="0.3"/>
    <row r="2292" s="430" customFormat="1" x14ac:dyDescent="0.3"/>
    <row r="2293" s="430" customFormat="1" x14ac:dyDescent="0.3"/>
    <row r="2294" s="430" customFormat="1" x14ac:dyDescent="0.3"/>
    <row r="2295" s="430" customFormat="1" x14ac:dyDescent="0.3"/>
    <row r="2296" s="430" customFormat="1" x14ac:dyDescent="0.3"/>
    <row r="2297" s="430" customFormat="1" x14ac:dyDescent="0.3"/>
    <row r="2298" s="430" customFormat="1" x14ac:dyDescent="0.3"/>
    <row r="2299" s="430" customFormat="1" x14ac:dyDescent="0.3"/>
    <row r="2300" s="430" customFormat="1" x14ac:dyDescent="0.3"/>
    <row r="2301" s="430" customFormat="1" x14ac:dyDescent="0.3"/>
    <row r="2302" s="430" customFormat="1" x14ac:dyDescent="0.3"/>
    <row r="2303" s="430" customFormat="1" x14ac:dyDescent="0.3"/>
    <row r="2304" s="430" customFormat="1" x14ac:dyDescent="0.3"/>
    <row r="2305" s="430" customFormat="1" x14ac:dyDescent="0.3"/>
    <row r="2306" s="430" customFormat="1" x14ac:dyDescent="0.3"/>
    <row r="2307" s="430" customFormat="1" x14ac:dyDescent="0.3"/>
    <row r="2308" s="430" customFormat="1" x14ac:dyDescent="0.3"/>
    <row r="2309" s="430" customFormat="1" x14ac:dyDescent="0.3"/>
    <row r="2310" s="430" customFormat="1" x14ac:dyDescent="0.3"/>
    <row r="2311" s="430" customFormat="1" x14ac:dyDescent="0.3"/>
    <row r="2312" s="430" customFormat="1" x14ac:dyDescent="0.3"/>
    <row r="2313" s="430" customFormat="1" x14ac:dyDescent="0.3"/>
    <row r="2314" s="430" customFormat="1" x14ac:dyDescent="0.3"/>
    <row r="2315" s="430" customFormat="1" x14ac:dyDescent="0.3"/>
    <row r="2316" s="430" customFormat="1" x14ac:dyDescent="0.3"/>
    <row r="2317" s="430" customFormat="1" x14ac:dyDescent="0.3"/>
    <row r="2318" s="430" customFormat="1" x14ac:dyDescent="0.3"/>
    <row r="2319" s="430" customFormat="1" x14ac:dyDescent="0.3"/>
    <row r="2320" s="430" customFormat="1" x14ac:dyDescent="0.3"/>
    <row r="2321" s="430" customFormat="1" x14ac:dyDescent="0.3"/>
    <row r="2322" s="430" customFormat="1" x14ac:dyDescent="0.3"/>
    <row r="2323" s="430" customFormat="1" x14ac:dyDescent="0.3"/>
    <row r="2324" s="430" customFormat="1" x14ac:dyDescent="0.3"/>
    <row r="2325" s="430" customFormat="1" x14ac:dyDescent="0.3"/>
    <row r="2326" s="430" customFormat="1" x14ac:dyDescent="0.3"/>
    <row r="2327" s="430" customFormat="1" x14ac:dyDescent="0.3"/>
    <row r="2328" s="430" customFormat="1" x14ac:dyDescent="0.3"/>
    <row r="2329" s="430" customFormat="1" x14ac:dyDescent="0.3"/>
    <row r="2330" s="430" customFormat="1" x14ac:dyDescent="0.3"/>
    <row r="2331" s="430" customFormat="1" x14ac:dyDescent="0.3"/>
    <row r="2332" s="430" customFormat="1" x14ac:dyDescent="0.3"/>
    <row r="2333" s="430" customFormat="1" x14ac:dyDescent="0.3"/>
    <row r="2334" s="430" customFormat="1" x14ac:dyDescent="0.3"/>
    <row r="2335" s="430" customFormat="1" x14ac:dyDescent="0.3"/>
    <row r="2336" s="430" customFormat="1" x14ac:dyDescent="0.3"/>
    <row r="2337" s="430" customFormat="1" x14ac:dyDescent="0.3"/>
    <row r="2338" s="430" customFormat="1" x14ac:dyDescent="0.3"/>
    <row r="2339" s="430" customFormat="1" x14ac:dyDescent="0.3"/>
    <row r="2340" s="430" customFormat="1" x14ac:dyDescent="0.3"/>
    <row r="2341" s="430" customFormat="1" x14ac:dyDescent="0.3"/>
    <row r="2342" s="430" customFormat="1" x14ac:dyDescent="0.3"/>
    <row r="2343" s="430" customFormat="1" x14ac:dyDescent="0.3"/>
    <row r="2344" s="430" customFormat="1" x14ac:dyDescent="0.3"/>
    <row r="2345" s="430" customFormat="1" x14ac:dyDescent="0.3"/>
    <row r="2346" s="430" customFormat="1" x14ac:dyDescent="0.3"/>
    <row r="2347" s="430" customFormat="1" x14ac:dyDescent="0.3"/>
    <row r="2348" s="430" customFormat="1" x14ac:dyDescent="0.3"/>
    <row r="2349" s="430" customFormat="1" x14ac:dyDescent="0.3"/>
    <row r="2350" s="430" customFormat="1" x14ac:dyDescent="0.3"/>
    <row r="2351" s="430" customFormat="1" x14ac:dyDescent="0.3"/>
    <row r="2352" s="430" customFormat="1" x14ac:dyDescent="0.3"/>
    <row r="2353" s="430" customFormat="1" x14ac:dyDescent="0.3"/>
    <row r="2354" s="430" customFormat="1" x14ac:dyDescent="0.3"/>
    <row r="2355" s="430" customFormat="1" x14ac:dyDescent="0.3"/>
    <row r="2356" s="430" customFormat="1" x14ac:dyDescent="0.3"/>
    <row r="2357" s="430" customFormat="1" x14ac:dyDescent="0.3"/>
    <row r="2358" s="430" customFormat="1" x14ac:dyDescent="0.3"/>
    <row r="2359" s="430" customFormat="1" x14ac:dyDescent="0.3"/>
    <row r="2360" s="430" customFormat="1" x14ac:dyDescent="0.3"/>
    <row r="2361" s="430" customFormat="1" x14ac:dyDescent="0.3"/>
    <row r="2362" s="430" customFormat="1" x14ac:dyDescent="0.3"/>
    <row r="2363" s="430" customFormat="1" x14ac:dyDescent="0.3"/>
    <row r="2364" s="430" customFormat="1" x14ac:dyDescent="0.3"/>
    <row r="2365" s="430" customFormat="1" x14ac:dyDescent="0.3"/>
    <row r="2366" s="430" customFormat="1" x14ac:dyDescent="0.3"/>
    <row r="2367" s="430" customFormat="1" x14ac:dyDescent="0.3"/>
    <row r="2368" s="430" customFormat="1" x14ac:dyDescent="0.3"/>
    <row r="2369" s="430" customFormat="1" x14ac:dyDescent="0.3"/>
    <row r="2370" s="430" customFormat="1" x14ac:dyDescent="0.3"/>
    <row r="2371" s="430" customFormat="1" x14ac:dyDescent="0.3"/>
    <row r="2372" s="430" customFormat="1" x14ac:dyDescent="0.3"/>
    <row r="2373" s="430" customFormat="1" x14ac:dyDescent="0.3"/>
    <row r="2374" s="430" customFormat="1" x14ac:dyDescent="0.3"/>
    <row r="2375" s="430" customFormat="1" x14ac:dyDescent="0.3"/>
    <row r="2376" s="430" customFormat="1" x14ac:dyDescent="0.3"/>
    <row r="2377" s="430" customFormat="1" x14ac:dyDescent="0.3"/>
    <row r="2378" s="430" customFormat="1" x14ac:dyDescent="0.3"/>
    <row r="2379" s="430" customFormat="1" x14ac:dyDescent="0.3"/>
    <row r="2380" s="430" customFormat="1" x14ac:dyDescent="0.3"/>
    <row r="2381" s="430" customFormat="1" x14ac:dyDescent="0.3"/>
    <row r="2382" s="430" customFormat="1" x14ac:dyDescent="0.3"/>
    <row r="2383" s="430" customFormat="1" x14ac:dyDescent="0.3"/>
    <row r="2384" s="430" customFormat="1" x14ac:dyDescent="0.3"/>
    <row r="2385" s="430" customFormat="1" x14ac:dyDescent="0.3"/>
    <row r="2386" s="430" customFormat="1" x14ac:dyDescent="0.3"/>
    <row r="2387" s="430" customFormat="1" x14ac:dyDescent="0.3"/>
    <row r="2388" s="430" customFormat="1" x14ac:dyDescent="0.3"/>
    <row r="2389" s="430" customFormat="1" x14ac:dyDescent="0.3"/>
    <row r="2390" s="430" customFormat="1" x14ac:dyDescent="0.3"/>
    <row r="2391" s="430" customFormat="1" x14ac:dyDescent="0.3"/>
    <row r="2392" s="430" customFormat="1" x14ac:dyDescent="0.3"/>
    <row r="2393" s="430" customFormat="1" x14ac:dyDescent="0.3"/>
    <row r="2394" s="430" customFormat="1" x14ac:dyDescent="0.3"/>
    <row r="2395" s="430" customFormat="1" x14ac:dyDescent="0.3"/>
    <row r="2396" s="430" customFormat="1" x14ac:dyDescent="0.3"/>
    <row r="2397" s="430" customFormat="1" x14ac:dyDescent="0.3"/>
    <row r="2398" s="430" customFormat="1" x14ac:dyDescent="0.3"/>
    <row r="2399" s="430" customFormat="1" x14ac:dyDescent="0.3"/>
    <row r="2400" s="430" customFormat="1" x14ac:dyDescent="0.3"/>
    <row r="2401" s="430" customFormat="1" x14ac:dyDescent="0.3"/>
    <row r="2402" s="430" customFormat="1" x14ac:dyDescent="0.3"/>
    <row r="2403" s="430" customFormat="1" x14ac:dyDescent="0.3"/>
    <row r="2404" s="430" customFormat="1" x14ac:dyDescent="0.3"/>
    <row r="2405" s="430" customFormat="1" x14ac:dyDescent="0.3"/>
    <row r="2406" s="430" customFormat="1" x14ac:dyDescent="0.3"/>
    <row r="2407" s="430" customFormat="1" x14ac:dyDescent="0.3"/>
    <row r="2408" s="430" customFormat="1" x14ac:dyDescent="0.3"/>
    <row r="2409" s="430" customFormat="1" x14ac:dyDescent="0.3"/>
    <row r="2410" s="430" customFormat="1" x14ac:dyDescent="0.3"/>
    <row r="2411" s="430" customFormat="1" x14ac:dyDescent="0.3"/>
    <row r="2412" s="430" customFormat="1" x14ac:dyDescent="0.3"/>
    <row r="2413" s="430" customFormat="1" x14ac:dyDescent="0.3"/>
    <row r="2414" s="430" customFormat="1" x14ac:dyDescent="0.3"/>
    <row r="2415" s="430" customFormat="1" x14ac:dyDescent="0.3"/>
    <row r="2416" s="430" customFormat="1" x14ac:dyDescent="0.3"/>
    <row r="2417" s="430" customFormat="1" x14ac:dyDescent="0.3"/>
    <row r="2418" s="430" customFormat="1" x14ac:dyDescent="0.3"/>
    <row r="2419" s="430" customFormat="1" x14ac:dyDescent="0.3"/>
    <row r="2420" s="430" customFormat="1" x14ac:dyDescent="0.3"/>
    <row r="2421" s="430" customFormat="1" x14ac:dyDescent="0.3"/>
    <row r="2422" s="430" customFormat="1" x14ac:dyDescent="0.3"/>
    <row r="2423" s="430" customFormat="1" x14ac:dyDescent="0.3"/>
    <row r="2424" s="430" customFormat="1" x14ac:dyDescent="0.3"/>
    <row r="2425" s="430" customFormat="1" x14ac:dyDescent="0.3"/>
    <row r="2426" s="430" customFormat="1" x14ac:dyDescent="0.3"/>
    <row r="2427" s="430" customFormat="1" x14ac:dyDescent="0.3"/>
    <row r="2428" s="430" customFormat="1" x14ac:dyDescent="0.3"/>
    <row r="2429" s="430" customFormat="1" x14ac:dyDescent="0.3"/>
    <row r="2430" s="430" customFormat="1" x14ac:dyDescent="0.3"/>
    <row r="2431" s="430" customFormat="1" x14ac:dyDescent="0.3"/>
    <row r="2432" s="430" customFormat="1" x14ac:dyDescent="0.3"/>
    <row r="2433" s="430" customFormat="1" x14ac:dyDescent="0.3"/>
    <row r="2434" s="430" customFormat="1" x14ac:dyDescent="0.3"/>
    <row r="2435" s="430" customFormat="1" x14ac:dyDescent="0.3"/>
    <row r="2436" s="430" customFormat="1" x14ac:dyDescent="0.3"/>
    <row r="2437" s="430" customFormat="1" x14ac:dyDescent="0.3"/>
    <row r="2438" s="430" customFormat="1" x14ac:dyDescent="0.3"/>
    <row r="2439" s="430" customFormat="1" x14ac:dyDescent="0.3"/>
    <row r="2440" s="430" customFormat="1" x14ac:dyDescent="0.3"/>
    <row r="2441" s="430" customFormat="1" x14ac:dyDescent="0.3"/>
    <row r="2442" s="430" customFormat="1" x14ac:dyDescent="0.3"/>
    <row r="2443" s="430" customFormat="1" x14ac:dyDescent="0.3"/>
    <row r="2444" s="430" customFormat="1" x14ac:dyDescent="0.3"/>
    <row r="2445" s="430" customFormat="1" x14ac:dyDescent="0.3"/>
    <row r="2446" s="430" customFormat="1" x14ac:dyDescent="0.3"/>
    <row r="2447" s="430" customFormat="1" x14ac:dyDescent="0.3"/>
    <row r="2448" s="430" customFormat="1" x14ac:dyDescent="0.3"/>
    <row r="2449" s="430" customFormat="1" x14ac:dyDescent="0.3"/>
    <row r="2450" s="430" customFormat="1" x14ac:dyDescent="0.3"/>
    <row r="2451" s="430" customFormat="1" x14ac:dyDescent="0.3"/>
    <row r="2452" s="430" customFormat="1" x14ac:dyDescent="0.3"/>
    <row r="2453" s="430" customFormat="1" x14ac:dyDescent="0.3"/>
    <row r="2454" s="430" customFormat="1" x14ac:dyDescent="0.3"/>
    <row r="2455" s="430" customFormat="1" x14ac:dyDescent="0.3"/>
    <row r="2456" s="430" customFormat="1" x14ac:dyDescent="0.3"/>
    <row r="2457" s="430" customFormat="1" x14ac:dyDescent="0.3"/>
    <row r="2458" s="430" customFormat="1" x14ac:dyDescent="0.3"/>
    <row r="2459" s="430" customFormat="1" x14ac:dyDescent="0.3"/>
    <row r="2460" s="430" customFormat="1" x14ac:dyDescent="0.3"/>
    <row r="2461" s="430" customFormat="1" x14ac:dyDescent="0.3"/>
    <row r="2462" s="430" customFormat="1" x14ac:dyDescent="0.3"/>
    <row r="2463" s="430" customFormat="1" x14ac:dyDescent="0.3"/>
    <row r="2464" s="430" customFormat="1" x14ac:dyDescent="0.3"/>
    <row r="2465" s="430" customFormat="1" x14ac:dyDescent="0.3"/>
    <row r="2466" s="430" customFormat="1" x14ac:dyDescent="0.3"/>
    <row r="2467" s="430" customFormat="1" x14ac:dyDescent="0.3"/>
    <row r="2468" s="430" customFormat="1" x14ac:dyDescent="0.3"/>
    <row r="2469" s="430" customFormat="1" x14ac:dyDescent="0.3"/>
    <row r="2470" s="430" customFormat="1" x14ac:dyDescent="0.3"/>
    <row r="2471" s="430" customFormat="1" x14ac:dyDescent="0.3"/>
    <row r="2472" s="430" customFormat="1" x14ac:dyDescent="0.3"/>
    <row r="2473" s="430" customFormat="1" x14ac:dyDescent="0.3"/>
    <row r="2474" s="430" customFormat="1" x14ac:dyDescent="0.3"/>
    <row r="2475" s="430" customFormat="1" x14ac:dyDescent="0.3"/>
    <row r="2476" s="430" customFormat="1" x14ac:dyDescent="0.3"/>
    <row r="2477" s="430" customFormat="1" x14ac:dyDescent="0.3"/>
    <row r="2478" s="430" customFormat="1" x14ac:dyDescent="0.3"/>
    <row r="2479" s="430" customFormat="1" x14ac:dyDescent="0.3"/>
    <row r="2480" s="430" customFormat="1" x14ac:dyDescent="0.3"/>
    <row r="2481" s="430" customFormat="1" x14ac:dyDescent="0.3"/>
    <row r="2482" s="430" customFormat="1" x14ac:dyDescent="0.3"/>
    <row r="2483" s="430" customFormat="1" x14ac:dyDescent="0.3"/>
    <row r="2484" s="430" customFormat="1" x14ac:dyDescent="0.3"/>
    <row r="2485" s="430" customFormat="1" x14ac:dyDescent="0.3"/>
    <row r="2486" s="430" customFormat="1" x14ac:dyDescent="0.3"/>
    <row r="2487" s="430" customFormat="1" x14ac:dyDescent="0.3"/>
    <row r="2488" s="430" customFormat="1" x14ac:dyDescent="0.3"/>
    <row r="2489" s="430" customFormat="1" x14ac:dyDescent="0.3"/>
    <row r="2490" s="430" customFormat="1" x14ac:dyDescent="0.3"/>
    <row r="2491" s="430" customFormat="1" x14ac:dyDescent="0.3"/>
    <row r="2492" s="430" customFormat="1" x14ac:dyDescent="0.3"/>
    <row r="2493" s="430" customFormat="1" x14ac:dyDescent="0.3"/>
    <row r="2494" s="430" customFormat="1" x14ac:dyDescent="0.3"/>
    <row r="2495" s="430" customFormat="1" x14ac:dyDescent="0.3"/>
    <row r="2496" s="430" customFormat="1" x14ac:dyDescent="0.3"/>
    <row r="2497" s="430" customFormat="1" x14ac:dyDescent="0.3"/>
    <row r="2498" s="430" customFormat="1" x14ac:dyDescent="0.3"/>
    <row r="2499" s="430" customFormat="1" x14ac:dyDescent="0.3"/>
    <row r="2500" s="430" customFormat="1" x14ac:dyDescent="0.3"/>
    <row r="2501" s="430" customFormat="1" x14ac:dyDescent="0.3"/>
    <row r="2502" s="430" customFormat="1" x14ac:dyDescent="0.3"/>
    <row r="2503" s="430" customFormat="1" x14ac:dyDescent="0.3"/>
    <row r="2504" s="430" customFormat="1" x14ac:dyDescent="0.3"/>
    <row r="2505" s="430" customFormat="1" x14ac:dyDescent="0.3"/>
    <row r="2506" s="430" customFormat="1" x14ac:dyDescent="0.3"/>
    <row r="2507" s="430" customFormat="1" x14ac:dyDescent="0.3"/>
    <row r="2508" s="430" customFormat="1" x14ac:dyDescent="0.3"/>
    <row r="2509" s="430" customFormat="1" x14ac:dyDescent="0.3"/>
    <row r="2510" s="430" customFormat="1" x14ac:dyDescent="0.3"/>
    <row r="2511" s="430" customFormat="1" x14ac:dyDescent="0.3"/>
    <row r="2512" s="430" customFormat="1" x14ac:dyDescent="0.3"/>
    <row r="2513" s="430" customFormat="1" x14ac:dyDescent="0.3"/>
    <row r="2514" s="430" customFormat="1" x14ac:dyDescent="0.3"/>
    <row r="2515" s="430" customFormat="1" x14ac:dyDescent="0.3"/>
    <row r="2516" s="430" customFormat="1" x14ac:dyDescent="0.3"/>
    <row r="2517" s="430" customFormat="1" x14ac:dyDescent="0.3"/>
    <row r="2518" s="430" customFormat="1" x14ac:dyDescent="0.3"/>
    <row r="2519" s="430" customFormat="1" x14ac:dyDescent="0.3"/>
    <row r="2520" s="430" customFormat="1" x14ac:dyDescent="0.3"/>
    <row r="2521" s="430" customFormat="1" x14ac:dyDescent="0.3"/>
    <row r="2522" s="430" customFormat="1" x14ac:dyDescent="0.3"/>
    <row r="2523" s="430" customFormat="1" x14ac:dyDescent="0.3"/>
    <row r="2524" s="430" customFormat="1" x14ac:dyDescent="0.3"/>
    <row r="2525" s="430" customFormat="1" x14ac:dyDescent="0.3"/>
    <row r="2526" s="430" customFormat="1" x14ac:dyDescent="0.3"/>
    <row r="2527" s="430" customFormat="1" x14ac:dyDescent="0.3"/>
    <row r="2528" s="430" customFormat="1" x14ac:dyDescent="0.3"/>
    <row r="2529" s="430" customFormat="1" x14ac:dyDescent="0.3"/>
    <row r="2530" s="430" customFormat="1" x14ac:dyDescent="0.3"/>
    <row r="2531" s="430" customFormat="1" x14ac:dyDescent="0.3"/>
    <row r="2532" s="430" customFormat="1" x14ac:dyDescent="0.3"/>
    <row r="2533" s="430" customFormat="1" x14ac:dyDescent="0.3"/>
    <row r="2534" s="430" customFormat="1" x14ac:dyDescent="0.3"/>
    <row r="2535" s="430" customFormat="1" x14ac:dyDescent="0.3"/>
    <row r="2536" s="430" customFormat="1" x14ac:dyDescent="0.3"/>
    <row r="2537" s="430" customFormat="1" x14ac:dyDescent="0.3"/>
    <row r="2538" s="430" customFormat="1" x14ac:dyDescent="0.3"/>
    <row r="2539" s="430" customFormat="1" x14ac:dyDescent="0.3"/>
    <row r="2540" s="430" customFormat="1" x14ac:dyDescent="0.3"/>
    <row r="2541" s="430" customFormat="1" x14ac:dyDescent="0.3"/>
    <row r="2542" s="430" customFormat="1" x14ac:dyDescent="0.3"/>
    <row r="2543" s="430" customFormat="1" x14ac:dyDescent="0.3"/>
    <row r="2544" s="430" customFormat="1" x14ac:dyDescent="0.3"/>
    <row r="2545" s="430" customFormat="1" x14ac:dyDescent="0.3"/>
    <row r="2546" s="430" customFormat="1" x14ac:dyDescent="0.3"/>
    <row r="2547" s="430" customFormat="1" x14ac:dyDescent="0.3"/>
    <row r="2548" s="430" customFormat="1" x14ac:dyDescent="0.3"/>
    <row r="2549" s="430" customFormat="1" x14ac:dyDescent="0.3"/>
    <row r="2550" s="430" customFormat="1" x14ac:dyDescent="0.3"/>
    <row r="2551" s="430" customFormat="1" x14ac:dyDescent="0.3"/>
    <row r="2552" s="430" customFormat="1" x14ac:dyDescent="0.3"/>
    <row r="2553" s="430" customFormat="1" x14ac:dyDescent="0.3"/>
    <row r="2554" s="430" customFormat="1" x14ac:dyDescent="0.3"/>
    <row r="2555" s="430" customFormat="1" x14ac:dyDescent="0.3"/>
    <row r="2556" s="430" customFormat="1" x14ac:dyDescent="0.3"/>
    <row r="2557" s="430" customFormat="1" x14ac:dyDescent="0.3"/>
    <row r="2558" s="430" customFormat="1" x14ac:dyDescent="0.3"/>
    <row r="2559" s="430" customFormat="1" x14ac:dyDescent="0.3"/>
    <row r="2560" s="430" customFormat="1" x14ac:dyDescent="0.3"/>
    <row r="2561" s="430" customFormat="1" x14ac:dyDescent="0.3"/>
    <row r="2562" s="430" customFormat="1" x14ac:dyDescent="0.3"/>
    <row r="2563" s="430" customFormat="1" x14ac:dyDescent="0.3"/>
    <row r="2564" s="430" customFormat="1" x14ac:dyDescent="0.3"/>
    <row r="2565" s="430" customFormat="1" x14ac:dyDescent="0.3"/>
    <row r="2566" s="430" customFormat="1" x14ac:dyDescent="0.3"/>
    <row r="2567" s="430" customFormat="1" x14ac:dyDescent="0.3"/>
    <row r="2568" s="430" customFormat="1" x14ac:dyDescent="0.3"/>
    <row r="2569" s="430" customFormat="1" x14ac:dyDescent="0.3"/>
    <row r="2570" s="430" customFormat="1" x14ac:dyDescent="0.3"/>
    <row r="2571" s="430" customFormat="1" x14ac:dyDescent="0.3"/>
    <row r="2572" s="430" customFormat="1" x14ac:dyDescent="0.3"/>
    <row r="2573" s="430" customFormat="1" x14ac:dyDescent="0.3"/>
    <row r="2574" s="430" customFormat="1" x14ac:dyDescent="0.3"/>
    <row r="2575" s="430" customFormat="1" x14ac:dyDescent="0.3"/>
    <row r="2576" s="430" customFormat="1" x14ac:dyDescent="0.3"/>
    <row r="2577" s="430" customFormat="1" x14ac:dyDescent="0.3"/>
    <row r="2578" s="430" customFormat="1" x14ac:dyDescent="0.3"/>
    <row r="2579" s="430" customFormat="1" x14ac:dyDescent="0.3"/>
    <row r="2580" s="430" customFormat="1" x14ac:dyDescent="0.3"/>
    <row r="2581" s="430" customFormat="1" x14ac:dyDescent="0.3"/>
    <row r="2582" s="430" customFormat="1" x14ac:dyDescent="0.3"/>
    <row r="2583" s="430" customFormat="1" x14ac:dyDescent="0.3"/>
    <row r="2584" s="430" customFormat="1" x14ac:dyDescent="0.3"/>
    <row r="2585" s="430" customFormat="1" x14ac:dyDescent="0.3"/>
    <row r="2586" s="430" customFormat="1" x14ac:dyDescent="0.3"/>
    <row r="2587" s="430" customFormat="1" x14ac:dyDescent="0.3"/>
    <row r="2588" s="430" customFormat="1" x14ac:dyDescent="0.3"/>
    <row r="2589" s="430" customFormat="1" x14ac:dyDescent="0.3"/>
    <row r="2590" s="430" customFormat="1" x14ac:dyDescent="0.3"/>
    <row r="2591" s="430" customFormat="1" x14ac:dyDescent="0.3"/>
    <row r="2592" s="430" customFormat="1" x14ac:dyDescent="0.3"/>
    <row r="2593" s="430" customFormat="1" x14ac:dyDescent="0.3"/>
    <row r="2594" s="430" customFormat="1" x14ac:dyDescent="0.3"/>
    <row r="2595" s="430" customFormat="1" x14ac:dyDescent="0.3"/>
    <row r="2596" s="430" customFormat="1" x14ac:dyDescent="0.3"/>
    <row r="2597" s="430" customFormat="1" x14ac:dyDescent="0.3"/>
    <row r="2598" s="430" customFormat="1" x14ac:dyDescent="0.3"/>
    <row r="2599" s="430" customFormat="1" x14ac:dyDescent="0.3"/>
    <row r="2600" s="430" customFormat="1" x14ac:dyDescent="0.3"/>
    <row r="2601" s="430" customFormat="1" x14ac:dyDescent="0.3"/>
    <row r="2602" s="430" customFormat="1" x14ac:dyDescent="0.3"/>
    <row r="2603" s="430" customFormat="1" x14ac:dyDescent="0.3"/>
    <row r="2604" s="430" customFormat="1" x14ac:dyDescent="0.3"/>
    <row r="2605" s="430" customFormat="1" x14ac:dyDescent="0.3"/>
    <row r="2606" s="430" customFormat="1" x14ac:dyDescent="0.3"/>
    <row r="2607" s="430" customFormat="1" x14ac:dyDescent="0.3"/>
    <row r="2608" s="430" customFormat="1" x14ac:dyDescent="0.3"/>
    <row r="2609" s="430" customFormat="1" x14ac:dyDescent="0.3"/>
    <row r="2610" s="430" customFormat="1" x14ac:dyDescent="0.3"/>
    <row r="2611" s="430" customFormat="1" x14ac:dyDescent="0.3"/>
    <row r="2612" s="430" customFormat="1" x14ac:dyDescent="0.3"/>
    <row r="2613" s="430" customFormat="1" x14ac:dyDescent="0.3"/>
    <row r="2614" s="430" customFormat="1" x14ac:dyDescent="0.3"/>
    <row r="2615" s="430" customFormat="1" x14ac:dyDescent="0.3"/>
    <row r="2616" s="430" customFormat="1" x14ac:dyDescent="0.3"/>
    <row r="2617" s="430" customFormat="1" x14ac:dyDescent="0.3"/>
    <row r="2618" s="430" customFormat="1" x14ac:dyDescent="0.3"/>
    <row r="2619" s="430" customFormat="1" x14ac:dyDescent="0.3"/>
    <row r="2620" s="430" customFormat="1" x14ac:dyDescent="0.3"/>
    <row r="2621" s="430" customFormat="1" x14ac:dyDescent="0.3"/>
    <row r="2622" s="430" customFormat="1" x14ac:dyDescent="0.3"/>
    <row r="2623" s="430" customFormat="1" x14ac:dyDescent="0.3"/>
    <row r="2624" s="430" customFormat="1" x14ac:dyDescent="0.3"/>
    <row r="2625" s="430" customFormat="1" x14ac:dyDescent="0.3"/>
    <row r="2626" s="430" customFormat="1" x14ac:dyDescent="0.3"/>
    <row r="2627" s="430" customFormat="1" x14ac:dyDescent="0.3"/>
    <row r="2628" s="430" customFormat="1" x14ac:dyDescent="0.3"/>
    <row r="2629" s="430" customFormat="1" x14ac:dyDescent="0.3"/>
    <row r="2630" s="430" customFormat="1" x14ac:dyDescent="0.3"/>
    <row r="2631" s="430" customFormat="1" x14ac:dyDescent="0.3"/>
    <row r="2632" s="430" customFormat="1" x14ac:dyDescent="0.3"/>
    <row r="2633" s="430" customFormat="1" x14ac:dyDescent="0.3"/>
    <row r="2634" s="430" customFormat="1" x14ac:dyDescent="0.3"/>
    <row r="2635" s="430" customFormat="1" x14ac:dyDescent="0.3"/>
    <row r="2636" s="430" customFormat="1" x14ac:dyDescent="0.3"/>
    <row r="2637" s="430" customFormat="1" x14ac:dyDescent="0.3"/>
    <row r="2638" s="430" customFormat="1" x14ac:dyDescent="0.3"/>
    <row r="2639" s="430" customFormat="1" x14ac:dyDescent="0.3"/>
    <row r="2640" s="430" customFormat="1" x14ac:dyDescent="0.3"/>
    <row r="2641" s="430" customFormat="1" x14ac:dyDescent="0.3"/>
    <row r="2642" s="430" customFormat="1" x14ac:dyDescent="0.3"/>
    <row r="2643" s="430" customFormat="1" x14ac:dyDescent="0.3"/>
    <row r="2644" s="430" customFormat="1" x14ac:dyDescent="0.3"/>
    <row r="2645" s="430" customFormat="1" x14ac:dyDescent="0.3"/>
    <row r="2646" s="430" customFormat="1" x14ac:dyDescent="0.3"/>
    <row r="2647" s="430" customFormat="1" x14ac:dyDescent="0.3"/>
    <row r="2648" s="430" customFormat="1" x14ac:dyDescent="0.3"/>
    <row r="2649" s="430" customFormat="1" x14ac:dyDescent="0.3"/>
    <row r="2650" s="430" customFormat="1" x14ac:dyDescent="0.3"/>
    <row r="2651" s="430" customFormat="1" x14ac:dyDescent="0.3"/>
    <row r="2652" s="430" customFormat="1" x14ac:dyDescent="0.3"/>
    <row r="2653" s="430" customFormat="1" x14ac:dyDescent="0.3"/>
    <row r="2654" s="430" customFormat="1" x14ac:dyDescent="0.3"/>
    <row r="2655" s="430" customFormat="1" x14ac:dyDescent="0.3"/>
    <row r="2656" s="430" customFormat="1" x14ac:dyDescent="0.3"/>
    <row r="2657" s="430" customFormat="1" x14ac:dyDescent="0.3"/>
    <row r="2658" s="430" customFormat="1" x14ac:dyDescent="0.3"/>
    <row r="2659" s="430" customFormat="1" x14ac:dyDescent="0.3"/>
    <row r="2660" s="430" customFormat="1" x14ac:dyDescent="0.3"/>
    <row r="2661" s="430" customFormat="1" x14ac:dyDescent="0.3"/>
    <row r="2662" s="430" customFormat="1" x14ac:dyDescent="0.3"/>
    <row r="2663" s="430" customFormat="1" x14ac:dyDescent="0.3"/>
    <row r="2664" s="430" customFormat="1" x14ac:dyDescent="0.3"/>
    <row r="2665" s="430" customFormat="1" x14ac:dyDescent="0.3"/>
    <row r="2666" s="430" customFormat="1" x14ac:dyDescent="0.3"/>
    <row r="2667" s="430" customFormat="1" x14ac:dyDescent="0.3"/>
    <row r="2668" s="430" customFormat="1" x14ac:dyDescent="0.3"/>
    <row r="2669" s="430" customFormat="1" x14ac:dyDescent="0.3"/>
    <row r="2670" s="430" customFormat="1" x14ac:dyDescent="0.3"/>
    <row r="2671" s="430" customFormat="1" x14ac:dyDescent="0.3"/>
    <row r="2672" s="430" customFormat="1" x14ac:dyDescent="0.3"/>
    <row r="2673" s="430" customFormat="1" x14ac:dyDescent="0.3"/>
    <row r="2674" s="430" customFormat="1" x14ac:dyDescent="0.3"/>
    <row r="2675" s="430" customFormat="1" x14ac:dyDescent="0.3"/>
    <row r="2676" s="430" customFormat="1" x14ac:dyDescent="0.3"/>
    <row r="2677" s="430" customFormat="1" x14ac:dyDescent="0.3"/>
    <row r="2678" s="430" customFormat="1" x14ac:dyDescent="0.3"/>
    <row r="2679" s="430" customFormat="1" x14ac:dyDescent="0.3"/>
    <row r="2680" s="430" customFormat="1" x14ac:dyDescent="0.3"/>
    <row r="2681" s="430" customFormat="1" x14ac:dyDescent="0.3"/>
    <row r="2682" s="430" customFormat="1" x14ac:dyDescent="0.3"/>
    <row r="2683" s="430" customFormat="1" x14ac:dyDescent="0.3"/>
    <row r="2684" s="430" customFormat="1" x14ac:dyDescent="0.3"/>
    <row r="2685" s="430" customFormat="1" x14ac:dyDescent="0.3"/>
    <row r="2686" s="430" customFormat="1" x14ac:dyDescent="0.3"/>
    <row r="2687" s="430" customFormat="1" x14ac:dyDescent="0.3"/>
    <row r="2688" s="430" customFormat="1" x14ac:dyDescent="0.3"/>
    <row r="2689" s="430" customFormat="1" x14ac:dyDescent="0.3"/>
    <row r="2690" s="430" customFormat="1" x14ac:dyDescent="0.3"/>
    <row r="2691" s="430" customFormat="1" x14ac:dyDescent="0.3"/>
    <row r="2692" s="430" customFormat="1" x14ac:dyDescent="0.3"/>
    <row r="2693" s="430" customFormat="1" x14ac:dyDescent="0.3"/>
    <row r="2694" s="430" customFormat="1" x14ac:dyDescent="0.3"/>
    <row r="2695" s="430" customFormat="1" x14ac:dyDescent="0.3"/>
    <row r="2696" s="430" customFormat="1" x14ac:dyDescent="0.3"/>
    <row r="2697" s="430" customFormat="1" x14ac:dyDescent="0.3"/>
    <row r="2698" s="430" customFormat="1" x14ac:dyDescent="0.3"/>
    <row r="2699" s="430" customFormat="1" x14ac:dyDescent="0.3"/>
    <row r="2700" s="430" customFormat="1" x14ac:dyDescent="0.3"/>
    <row r="2701" s="430" customFormat="1" x14ac:dyDescent="0.3"/>
    <row r="2702" s="430" customFormat="1" x14ac:dyDescent="0.3"/>
    <row r="2703" s="430" customFormat="1" x14ac:dyDescent="0.3"/>
    <row r="2704" s="430" customFormat="1" x14ac:dyDescent="0.3"/>
    <row r="2705" s="430" customFormat="1" x14ac:dyDescent="0.3"/>
    <row r="2706" s="430" customFormat="1" x14ac:dyDescent="0.3"/>
    <row r="2707" s="430" customFormat="1" x14ac:dyDescent="0.3"/>
    <row r="2708" s="430" customFormat="1" x14ac:dyDescent="0.3"/>
    <row r="2709" s="430" customFormat="1" x14ac:dyDescent="0.3"/>
    <row r="2710" s="430" customFormat="1" x14ac:dyDescent="0.3"/>
    <row r="2711" s="430" customFormat="1" x14ac:dyDescent="0.3"/>
    <row r="2712" s="430" customFormat="1" x14ac:dyDescent="0.3"/>
    <row r="2713" s="430" customFormat="1" x14ac:dyDescent="0.3"/>
    <row r="2714" s="430" customFormat="1" x14ac:dyDescent="0.3"/>
    <row r="2715" s="430" customFormat="1" x14ac:dyDescent="0.3"/>
    <row r="2716" s="430" customFormat="1" x14ac:dyDescent="0.3"/>
    <row r="2717" s="430" customFormat="1" x14ac:dyDescent="0.3"/>
    <row r="2718" s="430" customFormat="1" x14ac:dyDescent="0.3"/>
    <row r="2719" s="430" customFormat="1" x14ac:dyDescent="0.3"/>
    <row r="2720" s="430" customFormat="1" x14ac:dyDescent="0.3"/>
    <row r="2721" s="430" customFormat="1" x14ac:dyDescent="0.3"/>
    <row r="2722" s="430" customFormat="1" x14ac:dyDescent="0.3"/>
    <row r="2723" s="430" customFormat="1" x14ac:dyDescent="0.3"/>
    <row r="2724" s="430" customFormat="1" x14ac:dyDescent="0.3"/>
    <row r="2725" s="430" customFormat="1" x14ac:dyDescent="0.3"/>
    <row r="2726" s="430" customFormat="1" x14ac:dyDescent="0.3"/>
    <row r="2727" s="430" customFormat="1" x14ac:dyDescent="0.3"/>
    <row r="2728" s="430" customFormat="1" x14ac:dyDescent="0.3"/>
    <row r="2729" s="430" customFormat="1" x14ac:dyDescent="0.3"/>
    <row r="2730" s="430" customFormat="1" x14ac:dyDescent="0.3"/>
    <row r="2731" s="430" customFormat="1" x14ac:dyDescent="0.3"/>
    <row r="2732" s="430" customFormat="1" x14ac:dyDescent="0.3"/>
    <row r="2733" s="430" customFormat="1" x14ac:dyDescent="0.3"/>
    <row r="2734" s="430" customFormat="1" x14ac:dyDescent="0.3"/>
    <row r="2735" s="430" customFormat="1" x14ac:dyDescent="0.3"/>
    <row r="2736" s="430" customFormat="1" x14ac:dyDescent="0.3"/>
    <row r="2737" s="430" customFormat="1" x14ac:dyDescent="0.3"/>
    <row r="2738" s="430" customFormat="1" x14ac:dyDescent="0.3"/>
    <row r="2739" s="430" customFormat="1" x14ac:dyDescent="0.3"/>
    <row r="2740" s="430" customFormat="1" x14ac:dyDescent="0.3"/>
    <row r="2741" s="430" customFormat="1" x14ac:dyDescent="0.3"/>
    <row r="2742" s="430" customFormat="1" x14ac:dyDescent="0.3"/>
    <row r="2743" s="430" customFormat="1" x14ac:dyDescent="0.3"/>
    <row r="2744" s="430" customFormat="1" x14ac:dyDescent="0.3"/>
    <row r="2745" s="430" customFormat="1" x14ac:dyDescent="0.3"/>
    <row r="2746" s="430" customFormat="1" x14ac:dyDescent="0.3"/>
    <row r="2747" s="430" customFormat="1" x14ac:dyDescent="0.3"/>
    <row r="2748" s="430" customFormat="1" x14ac:dyDescent="0.3"/>
    <row r="2749" s="430" customFormat="1" x14ac:dyDescent="0.3"/>
    <row r="2750" s="430" customFormat="1" x14ac:dyDescent="0.3"/>
    <row r="2751" s="430" customFormat="1" x14ac:dyDescent="0.3"/>
    <row r="2752" s="430" customFormat="1" x14ac:dyDescent="0.3"/>
    <row r="2753" s="430" customFormat="1" x14ac:dyDescent="0.3"/>
    <row r="2754" s="430" customFormat="1" x14ac:dyDescent="0.3"/>
    <row r="2755" s="430" customFormat="1" x14ac:dyDescent="0.3"/>
    <row r="2756" s="430" customFormat="1" x14ac:dyDescent="0.3"/>
    <row r="2757" s="430" customFormat="1" x14ac:dyDescent="0.3"/>
    <row r="2758" s="430" customFormat="1" x14ac:dyDescent="0.3"/>
    <row r="2759" s="430" customFormat="1" x14ac:dyDescent="0.3"/>
    <row r="2760" s="430" customFormat="1" x14ac:dyDescent="0.3"/>
    <row r="2761" s="430" customFormat="1" x14ac:dyDescent="0.3"/>
    <row r="2762" s="430" customFormat="1" x14ac:dyDescent="0.3"/>
    <row r="2763" s="430" customFormat="1" x14ac:dyDescent="0.3"/>
    <row r="2764" s="430" customFormat="1" x14ac:dyDescent="0.3"/>
    <row r="2765" s="430" customFormat="1" x14ac:dyDescent="0.3"/>
    <row r="2766" s="430" customFormat="1" x14ac:dyDescent="0.3"/>
    <row r="2767" s="430" customFormat="1" x14ac:dyDescent="0.3"/>
    <row r="2768" s="430" customFormat="1" x14ac:dyDescent="0.3"/>
    <row r="2769" s="430" customFormat="1" x14ac:dyDescent="0.3"/>
    <row r="2770" s="430" customFormat="1" x14ac:dyDescent="0.3"/>
    <row r="2771" s="430" customFormat="1" x14ac:dyDescent="0.3"/>
    <row r="2772" s="430" customFormat="1" x14ac:dyDescent="0.3"/>
    <row r="2773" s="430" customFormat="1" x14ac:dyDescent="0.3"/>
    <row r="2774" s="430" customFormat="1" x14ac:dyDescent="0.3"/>
    <row r="2775" s="430" customFormat="1" x14ac:dyDescent="0.3"/>
    <row r="2776" s="430" customFormat="1" x14ac:dyDescent="0.3"/>
    <row r="2777" s="430" customFormat="1" x14ac:dyDescent="0.3"/>
    <row r="2778" s="430" customFormat="1" x14ac:dyDescent="0.3"/>
    <row r="2779" s="430" customFormat="1" x14ac:dyDescent="0.3"/>
    <row r="2780" s="430" customFormat="1" x14ac:dyDescent="0.3"/>
    <row r="2781" s="430" customFormat="1" x14ac:dyDescent="0.3"/>
    <row r="2782" s="430" customFormat="1" x14ac:dyDescent="0.3"/>
    <row r="2783" s="430" customFormat="1" x14ac:dyDescent="0.3"/>
    <row r="2784" s="430" customFormat="1" x14ac:dyDescent="0.3"/>
    <row r="2785" s="430" customFormat="1" x14ac:dyDescent="0.3"/>
    <row r="2786" s="430" customFormat="1" x14ac:dyDescent="0.3"/>
    <row r="2787" s="430" customFormat="1" x14ac:dyDescent="0.3"/>
    <row r="2788" s="430" customFormat="1" x14ac:dyDescent="0.3"/>
    <row r="2789" s="430" customFormat="1" x14ac:dyDescent="0.3"/>
    <row r="2790" s="430" customFormat="1" x14ac:dyDescent="0.3"/>
    <row r="2791" s="430" customFormat="1" x14ac:dyDescent="0.3"/>
    <row r="2792" s="430" customFormat="1" x14ac:dyDescent="0.3"/>
    <row r="2793" s="430" customFormat="1" x14ac:dyDescent="0.3"/>
    <row r="2794" s="430" customFormat="1" x14ac:dyDescent="0.3"/>
    <row r="2795" s="430" customFormat="1" x14ac:dyDescent="0.3"/>
    <row r="2796" s="430" customFormat="1" x14ac:dyDescent="0.3"/>
    <row r="2797" s="430" customFormat="1" x14ac:dyDescent="0.3"/>
    <row r="2798" s="430" customFormat="1" x14ac:dyDescent="0.3"/>
    <row r="2799" s="430" customFormat="1" x14ac:dyDescent="0.3"/>
    <row r="2800" s="430" customFormat="1" x14ac:dyDescent="0.3"/>
    <row r="2801" s="430" customFormat="1" x14ac:dyDescent="0.3"/>
    <row r="2802" s="430" customFormat="1" x14ac:dyDescent="0.3"/>
    <row r="2803" s="430" customFormat="1" x14ac:dyDescent="0.3"/>
    <row r="2804" s="430" customFormat="1" x14ac:dyDescent="0.3"/>
    <row r="2805" s="430" customFormat="1" x14ac:dyDescent="0.3"/>
    <row r="2806" s="430" customFormat="1" x14ac:dyDescent="0.3"/>
    <row r="2807" s="430" customFormat="1" x14ac:dyDescent="0.3"/>
    <row r="2808" s="430" customFormat="1" x14ac:dyDescent="0.3"/>
    <row r="2809" s="430" customFormat="1" x14ac:dyDescent="0.3"/>
    <row r="2810" s="430" customFormat="1" x14ac:dyDescent="0.3"/>
    <row r="2811" s="430" customFormat="1" x14ac:dyDescent="0.3"/>
    <row r="2812" s="430" customFormat="1" x14ac:dyDescent="0.3"/>
    <row r="2813" s="430" customFormat="1" x14ac:dyDescent="0.3"/>
    <row r="2814" s="430" customFormat="1" x14ac:dyDescent="0.3"/>
    <row r="2815" s="430" customFormat="1" x14ac:dyDescent="0.3"/>
    <row r="2816" s="430" customFormat="1" x14ac:dyDescent="0.3"/>
    <row r="2817" s="430" customFormat="1" x14ac:dyDescent="0.3"/>
    <row r="2818" s="430" customFormat="1" x14ac:dyDescent="0.3"/>
    <row r="2819" s="430" customFormat="1" x14ac:dyDescent="0.3"/>
    <row r="2820" s="430" customFormat="1" x14ac:dyDescent="0.3"/>
    <row r="2821" s="430" customFormat="1" x14ac:dyDescent="0.3"/>
    <row r="2822" s="430" customFormat="1" x14ac:dyDescent="0.3"/>
    <row r="2823" s="430" customFormat="1" x14ac:dyDescent="0.3"/>
    <row r="2824" s="430" customFormat="1" x14ac:dyDescent="0.3"/>
    <row r="2825" s="430" customFormat="1" x14ac:dyDescent="0.3"/>
    <row r="2826" s="430" customFormat="1" x14ac:dyDescent="0.3"/>
    <row r="2827" s="430" customFormat="1" x14ac:dyDescent="0.3"/>
    <row r="2828" s="430" customFormat="1" x14ac:dyDescent="0.3"/>
    <row r="2829" s="430" customFormat="1" x14ac:dyDescent="0.3"/>
    <row r="2830" s="430" customFormat="1" x14ac:dyDescent="0.3"/>
    <row r="2831" s="430" customFormat="1" x14ac:dyDescent="0.3"/>
    <row r="2832" s="430" customFormat="1" x14ac:dyDescent="0.3"/>
    <row r="2833" s="430" customFormat="1" x14ac:dyDescent="0.3"/>
    <row r="2834" s="430" customFormat="1" x14ac:dyDescent="0.3"/>
    <row r="2835" s="430" customFormat="1" x14ac:dyDescent="0.3"/>
    <row r="2836" s="430" customFormat="1" x14ac:dyDescent="0.3"/>
    <row r="2837" s="430" customFormat="1" x14ac:dyDescent="0.3"/>
    <row r="2838" s="430" customFormat="1" x14ac:dyDescent="0.3"/>
    <row r="2839" s="430" customFormat="1" x14ac:dyDescent="0.3"/>
    <row r="2840" s="430" customFormat="1" x14ac:dyDescent="0.3"/>
    <row r="2841" s="430" customFormat="1" x14ac:dyDescent="0.3"/>
    <row r="2842" s="430" customFormat="1" x14ac:dyDescent="0.3"/>
    <row r="2843" s="430" customFormat="1" x14ac:dyDescent="0.3"/>
    <row r="2844" s="430" customFormat="1" x14ac:dyDescent="0.3"/>
    <row r="2845" s="430" customFormat="1" x14ac:dyDescent="0.3"/>
    <row r="2846" s="430" customFormat="1" x14ac:dyDescent="0.3"/>
    <row r="2847" s="430" customFormat="1" x14ac:dyDescent="0.3"/>
    <row r="2848" s="430" customFormat="1" x14ac:dyDescent="0.3"/>
    <row r="2849" s="430" customFormat="1" x14ac:dyDescent="0.3"/>
    <row r="2850" s="430" customFormat="1" x14ac:dyDescent="0.3"/>
    <row r="2851" s="430" customFormat="1" x14ac:dyDescent="0.3"/>
    <row r="2852" s="430" customFormat="1" x14ac:dyDescent="0.3"/>
    <row r="2853" s="430" customFormat="1" x14ac:dyDescent="0.3"/>
    <row r="2854" s="430" customFormat="1" x14ac:dyDescent="0.3"/>
    <row r="2855" s="430" customFormat="1" x14ac:dyDescent="0.3"/>
    <row r="2856" s="430" customFormat="1" x14ac:dyDescent="0.3"/>
    <row r="2857" s="430" customFormat="1" x14ac:dyDescent="0.3"/>
    <row r="2858" s="430" customFormat="1" x14ac:dyDescent="0.3"/>
    <row r="2859" s="430" customFormat="1" x14ac:dyDescent="0.3"/>
    <row r="2860" s="430" customFormat="1" x14ac:dyDescent="0.3"/>
    <row r="2861" s="430" customFormat="1" x14ac:dyDescent="0.3"/>
    <row r="2862" s="430" customFormat="1" x14ac:dyDescent="0.3"/>
    <row r="2863" s="430" customFormat="1" x14ac:dyDescent="0.3"/>
    <row r="2864" s="430" customFormat="1" x14ac:dyDescent="0.3"/>
    <row r="2865" s="430" customFormat="1" x14ac:dyDescent="0.3"/>
    <row r="2866" s="430" customFormat="1" x14ac:dyDescent="0.3"/>
    <row r="2867" s="430" customFormat="1" x14ac:dyDescent="0.3"/>
    <row r="2868" s="430" customFormat="1" x14ac:dyDescent="0.3"/>
    <row r="2869" s="430" customFormat="1" x14ac:dyDescent="0.3"/>
    <row r="2870" s="430" customFormat="1" x14ac:dyDescent="0.3"/>
    <row r="2871" s="430" customFormat="1" x14ac:dyDescent="0.3"/>
    <row r="2872" s="430" customFormat="1" x14ac:dyDescent="0.3"/>
    <row r="2873" s="430" customFormat="1" x14ac:dyDescent="0.3"/>
    <row r="2874" s="430" customFormat="1" x14ac:dyDescent="0.3"/>
    <row r="2875" s="430" customFormat="1" x14ac:dyDescent="0.3"/>
    <row r="2876" s="430" customFormat="1" x14ac:dyDescent="0.3"/>
    <row r="2877" s="430" customFormat="1" x14ac:dyDescent="0.3"/>
    <row r="2878" s="430" customFormat="1" x14ac:dyDescent="0.3"/>
    <row r="2879" s="430" customFormat="1" x14ac:dyDescent="0.3"/>
    <row r="2880" s="430" customFormat="1" x14ac:dyDescent="0.3"/>
    <row r="2881" s="430" customFormat="1" x14ac:dyDescent="0.3"/>
    <row r="2882" s="430" customFormat="1" x14ac:dyDescent="0.3"/>
    <row r="2883" s="430" customFormat="1" x14ac:dyDescent="0.3"/>
    <row r="2884" s="430" customFormat="1" x14ac:dyDescent="0.3"/>
    <row r="2885" s="430" customFormat="1" x14ac:dyDescent="0.3"/>
    <row r="2886" s="430" customFormat="1" x14ac:dyDescent="0.3"/>
    <row r="2887" s="430" customFormat="1" x14ac:dyDescent="0.3"/>
    <row r="2888" s="430" customFormat="1" x14ac:dyDescent="0.3"/>
    <row r="2889" s="430" customFormat="1" x14ac:dyDescent="0.3"/>
    <row r="2890" s="430" customFormat="1" x14ac:dyDescent="0.3"/>
    <row r="2891" s="430" customFormat="1" x14ac:dyDescent="0.3"/>
    <row r="2892" s="430" customFormat="1" x14ac:dyDescent="0.3"/>
    <row r="2893" s="430" customFormat="1" x14ac:dyDescent="0.3"/>
    <row r="2894" s="430" customFormat="1" x14ac:dyDescent="0.3"/>
    <row r="2895" s="430" customFormat="1" x14ac:dyDescent="0.3"/>
    <row r="2896" s="430" customFormat="1" x14ac:dyDescent="0.3"/>
    <row r="2897" s="430" customFormat="1" x14ac:dyDescent="0.3"/>
    <row r="2898" s="430" customFormat="1" x14ac:dyDescent="0.3"/>
    <row r="2899" s="430" customFormat="1" x14ac:dyDescent="0.3"/>
    <row r="2900" s="430" customFormat="1" x14ac:dyDescent="0.3"/>
    <row r="2901" s="430" customFormat="1" x14ac:dyDescent="0.3"/>
    <row r="2902" s="430" customFormat="1" x14ac:dyDescent="0.3"/>
    <row r="2903" s="430" customFormat="1" x14ac:dyDescent="0.3"/>
    <row r="2904" s="430" customFormat="1" x14ac:dyDescent="0.3"/>
    <row r="2905" s="430" customFormat="1" x14ac:dyDescent="0.3"/>
    <row r="2906" s="430" customFormat="1" x14ac:dyDescent="0.3"/>
    <row r="2907" s="430" customFormat="1" x14ac:dyDescent="0.3"/>
    <row r="2908" s="430" customFormat="1" x14ac:dyDescent="0.3"/>
    <row r="2909" s="430" customFormat="1" x14ac:dyDescent="0.3"/>
    <row r="2910" s="430" customFormat="1" x14ac:dyDescent="0.3"/>
    <row r="2911" s="430" customFormat="1" x14ac:dyDescent="0.3"/>
    <row r="2912" s="430" customFormat="1" x14ac:dyDescent="0.3"/>
    <row r="2913" s="430" customFormat="1" x14ac:dyDescent="0.3"/>
    <row r="2914" s="430" customFormat="1" x14ac:dyDescent="0.3"/>
    <row r="2915" s="430" customFormat="1" x14ac:dyDescent="0.3"/>
    <row r="2916" s="430" customFormat="1" x14ac:dyDescent="0.3"/>
    <row r="2917" s="430" customFormat="1" x14ac:dyDescent="0.3"/>
    <row r="2918" s="430" customFormat="1" x14ac:dyDescent="0.3"/>
    <row r="2919" s="430" customFormat="1" x14ac:dyDescent="0.3"/>
    <row r="2920" s="430" customFormat="1" x14ac:dyDescent="0.3"/>
    <row r="2921" s="430" customFormat="1" x14ac:dyDescent="0.3"/>
    <row r="2922" s="430" customFormat="1" x14ac:dyDescent="0.3"/>
    <row r="2923" s="430" customFormat="1" x14ac:dyDescent="0.3"/>
    <row r="2924" s="430" customFormat="1" x14ac:dyDescent="0.3"/>
    <row r="2925" s="430" customFormat="1" x14ac:dyDescent="0.3"/>
    <row r="2926" s="430" customFormat="1" x14ac:dyDescent="0.3"/>
    <row r="2927" s="430" customFormat="1" x14ac:dyDescent="0.3"/>
    <row r="2928" s="430" customFormat="1" x14ac:dyDescent="0.3"/>
    <row r="2929" s="430" customFormat="1" x14ac:dyDescent="0.3"/>
    <row r="2930" s="430" customFormat="1" x14ac:dyDescent="0.3"/>
    <row r="2931" s="430" customFormat="1" x14ac:dyDescent="0.3"/>
    <row r="2932" s="430" customFormat="1" x14ac:dyDescent="0.3"/>
    <row r="2933" s="430" customFormat="1" x14ac:dyDescent="0.3"/>
    <row r="2934" s="430" customFormat="1" x14ac:dyDescent="0.3"/>
    <row r="2935" s="430" customFormat="1" x14ac:dyDescent="0.3"/>
    <row r="2936" s="430" customFormat="1" x14ac:dyDescent="0.3"/>
    <row r="2937" s="430" customFormat="1" x14ac:dyDescent="0.3"/>
    <row r="2938" s="430" customFormat="1" x14ac:dyDescent="0.3"/>
    <row r="2939" s="430" customFormat="1" x14ac:dyDescent="0.3"/>
    <row r="2940" s="430" customFormat="1" x14ac:dyDescent="0.3"/>
    <row r="2941" s="430" customFormat="1" x14ac:dyDescent="0.3"/>
    <row r="2942" s="430" customFormat="1" x14ac:dyDescent="0.3"/>
    <row r="2943" s="430" customFormat="1" x14ac:dyDescent="0.3"/>
    <row r="2944" s="430" customFormat="1" x14ac:dyDescent="0.3"/>
    <row r="2945" s="430" customFormat="1" x14ac:dyDescent="0.3"/>
    <row r="2946" s="430" customFormat="1" x14ac:dyDescent="0.3"/>
    <row r="2947" s="430" customFormat="1" x14ac:dyDescent="0.3"/>
    <row r="2948" s="430" customFormat="1" x14ac:dyDescent="0.3"/>
    <row r="2949" s="430" customFormat="1" x14ac:dyDescent="0.3"/>
    <row r="2950" s="430" customFormat="1" x14ac:dyDescent="0.3"/>
    <row r="2951" s="430" customFormat="1" x14ac:dyDescent="0.3"/>
    <row r="2952" s="430" customFormat="1" x14ac:dyDescent="0.3"/>
    <row r="2953" s="430" customFormat="1" x14ac:dyDescent="0.3"/>
    <row r="2954" s="430" customFormat="1" x14ac:dyDescent="0.3"/>
    <row r="2955" s="430" customFormat="1" x14ac:dyDescent="0.3"/>
    <row r="2956" s="430" customFormat="1" x14ac:dyDescent="0.3"/>
    <row r="2957" s="430" customFormat="1" x14ac:dyDescent="0.3"/>
    <row r="2958" s="430" customFormat="1" x14ac:dyDescent="0.3"/>
    <row r="2959" s="430" customFormat="1" x14ac:dyDescent="0.3"/>
    <row r="2960" s="430" customFormat="1" x14ac:dyDescent="0.3"/>
    <row r="2961" s="430" customFormat="1" x14ac:dyDescent="0.3"/>
    <row r="2962" s="430" customFormat="1" x14ac:dyDescent="0.3"/>
    <row r="2963" s="430" customFormat="1" x14ac:dyDescent="0.3"/>
    <row r="2964" s="430" customFormat="1" x14ac:dyDescent="0.3"/>
    <row r="2965" s="430" customFormat="1" x14ac:dyDescent="0.3"/>
    <row r="2966" s="430" customFormat="1" x14ac:dyDescent="0.3"/>
    <row r="2967" s="430" customFormat="1" x14ac:dyDescent="0.3"/>
    <row r="2968" s="430" customFormat="1" x14ac:dyDescent="0.3"/>
    <row r="2969" s="430" customFormat="1" x14ac:dyDescent="0.3"/>
    <row r="2970" s="430" customFormat="1" x14ac:dyDescent="0.3"/>
    <row r="2971" s="430" customFormat="1" x14ac:dyDescent="0.3"/>
    <row r="2972" s="430" customFormat="1" x14ac:dyDescent="0.3"/>
    <row r="2973" s="430" customFormat="1" x14ac:dyDescent="0.3"/>
    <row r="2974" s="430" customFormat="1" x14ac:dyDescent="0.3"/>
    <row r="2975" s="430" customFormat="1" x14ac:dyDescent="0.3"/>
    <row r="2976" s="430" customFormat="1" x14ac:dyDescent="0.3"/>
    <row r="2977" s="430" customFormat="1" x14ac:dyDescent="0.3"/>
    <row r="2978" s="430" customFormat="1" x14ac:dyDescent="0.3"/>
    <row r="2979" s="430" customFormat="1" x14ac:dyDescent="0.3"/>
    <row r="2980" s="430" customFormat="1" x14ac:dyDescent="0.3"/>
    <row r="2981" s="430" customFormat="1" x14ac:dyDescent="0.3"/>
    <row r="2982" s="430" customFormat="1" x14ac:dyDescent="0.3"/>
    <row r="2983" s="430" customFormat="1" x14ac:dyDescent="0.3"/>
    <row r="2984" s="430" customFormat="1" x14ac:dyDescent="0.3"/>
    <row r="2985" s="430" customFormat="1" x14ac:dyDescent="0.3"/>
    <row r="2986" s="430" customFormat="1" x14ac:dyDescent="0.3"/>
    <row r="2987" s="430" customFormat="1" x14ac:dyDescent="0.3"/>
    <row r="2988" s="430" customFormat="1" x14ac:dyDescent="0.3"/>
    <row r="2989" s="430" customFormat="1" x14ac:dyDescent="0.3"/>
    <row r="2990" s="430" customFormat="1" x14ac:dyDescent="0.3"/>
    <row r="2991" s="430" customFormat="1" x14ac:dyDescent="0.3"/>
    <row r="2992" s="430" customFormat="1" x14ac:dyDescent="0.3"/>
    <row r="2993" s="430" customFormat="1" x14ac:dyDescent="0.3"/>
    <row r="2994" s="430" customFormat="1" x14ac:dyDescent="0.3"/>
    <row r="2995" s="430" customFormat="1" x14ac:dyDescent="0.3"/>
    <row r="2996" s="430" customFormat="1" x14ac:dyDescent="0.3"/>
    <row r="2997" s="430" customFormat="1" x14ac:dyDescent="0.3"/>
    <row r="2998" s="430" customFormat="1" x14ac:dyDescent="0.3"/>
    <row r="2999" s="430" customFormat="1" x14ac:dyDescent="0.3"/>
    <row r="3000" s="430" customFormat="1" x14ac:dyDescent="0.3"/>
    <row r="3001" s="430" customFormat="1" x14ac:dyDescent="0.3"/>
    <row r="3002" s="430" customFormat="1" x14ac:dyDescent="0.3"/>
    <row r="3003" s="430" customFormat="1" x14ac:dyDescent="0.3"/>
    <row r="3004" s="430" customFormat="1" x14ac:dyDescent="0.3"/>
    <row r="3005" s="430" customFormat="1" x14ac:dyDescent="0.3"/>
    <row r="3006" s="430" customFormat="1" x14ac:dyDescent="0.3"/>
    <row r="3007" s="430" customFormat="1" x14ac:dyDescent="0.3"/>
    <row r="3008" s="430" customFormat="1" x14ac:dyDescent="0.3"/>
    <row r="3009" s="430" customFormat="1" x14ac:dyDescent="0.3"/>
    <row r="3010" s="430" customFormat="1" x14ac:dyDescent="0.3"/>
    <row r="3011" s="430" customFormat="1" x14ac:dyDescent="0.3"/>
    <row r="3012" s="430" customFormat="1" x14ac:dyDescent="0.3"/>
    <row r="3013" s="430" customFormat="1" x14ac:dyDescent="0.3"/>
    <row r="3014" s="430" customFormat="1" x14ac:dyDescent="0.3"/>
    <row r="3015" s="430" customFormat="1" x14ac:dyDescent="0.3"/>
    <row r="3016" s="430" customFormat="1" x14ac:dyDescent="0.3"/>
    <row r="3017" s="430" customFormat="1" x14ac:dyDescent="0.3"/>
    <row r="3018" s="430" customFormat="1" x14ac:dyDescent="0.3"/>
    <row r="3019" s="430" customFormat="1" x14ac:dyDescent="0.3"/>
    <row r="3020" s="430" customFormat="1" x14ac:dyDescent="0.3"/>
    <row r="3021" s="430" customFormat="1" x14ac:dyDescent="0.3"/>
    <row r="3022" s="430" customFormat="1" x14ac:dyDescent="0.3"/>
    <row r="3023" s="430" customFormat="1" x14ac:dyDescent="0.3"/>
    <row r="3024" s="430" customFormat="1" x14ac:dyDescent="0.3"/>
    <row r="3025" s="430" customFormat="1" x14ac:dyDescent="0.3"/>
    <row r="3026" s="430" customFormat="1" x14ac:dyDescent="0.3"/>
    <row r="3027" s="430" customFormat="1" x14ac:dyDescent="0.3"/>
    <row r="3028" s="430" customFormat="1" x14ac:dyDescent="0.3"/>
    <row r="3029" s="430" customFormat="1" x14ac:dyDescent="0.3"/>
    <row r="3030" s="430" customFormat="1" x14ac:dyDescent="0.3"/>
    <row r="3031" s="430" customFormat="1" x14ac:dyDescent="0.3"/>
    <row r="3032" s="430" customFormat="1" x14ac:dyDescent="0.3"/>
    <row r="3033" s="430" customFormat="1" x14ac:dyDescent="0.3"/>
    <row r="3034" s="430" customFormat="1" x14ac:dyDescent="0.3"/>
    <row r="3035" s="430" customFormat="1" x14ac:dyDescent="0.3"/>
    <row r="3036" s="430" customFormat="1" x14ac:dyDescent="0.3"/>
    <row r="3037" s="430" customFormat="1" x14ac:dyDescent="0.3"/>
    <row r="3038" s="430" customFormat="1" x14ac:dyDescent="0.3"/>
    <row r="3039" s="430" customFormat="1" x14ac:dyDescent="0.3"/>
    <row r="3040" s="430" customFormat="1" x14ac:dyDescent="0.3"/>
    <row r="3041" s="430" customFormat="1" x14ac:dyDescent="0.3"/>
    <row r="3042" s="430" customFormat="1" x14ac:dyDescent="0.3"/>
    <row r="3043" s="430" customFormat="1" x14ac:dyDescent="0.3"/>
    <row r="3044" s="430" customFormat="1" x14ac:dyDescent="0.3"/>
    <row r="3045" s="430" customFormat="1" x14ac:dyDescent="0.3"/>
    <row r="3046" s="430" customFormat="1" x14ac:dyDescent="0.3"/>
    <row r="3047" s="430" customFormat="1" x14ac:dyDescent="0.3"/>
    <row r="3048" s="430" customFormat="1" x14ac:dyDescent="0.3"/>
    <row r="3049" s="430" customFormat="1" x14ac:dyDescent="0.3"/>
    <row r="3050" s="430" customFormat="1" x14ac:dyDescent="0.3"/>
    <row r="3051" s="430" customFormat="1" x14ac:dyDescent="0.3"/>
    <row r="3052" s="430" customFormat="1" x14ac:dyDescent="0.3"/>
    <row r="3053" s="430" customFormat="1" x14ac:dyDescent="0.3"/>
    <row r="3054" s="430" customFormat="1" x14ac:dyDescent="0.3"/>
    <row r="3055" s="430" customFormat="1" x14ac:dyDescent="0.3"/>
    <row r="3056" s="430" customFormat="1" x14ac:dyDescent="0.3"/>
    <row r="3057" s="430" customFormat="1" x14ac:dyDescent="0.3"/>
    <row r="3058" s="430" customFormat="1" x14ac:dyDescent="0.3"/>
    <row r="3059" s="430" customFormat="1" x14ac:dyDescent="0.3"/>
    <row r="3060" s="430" customFormat="1" x14ac:dyDescent="0.3"/>
    <row r="3061" s="430" customFormat="1" x14ac:dyDescent="0.3"/>
    <row r="3062" s="430" customFormat="1" x14ac:dyDescent="0.3"/>
    <row r="3063" s="430" customFormat="1" x14ac:dyDescent="0.3"/>
    <row r="3064" s="430" customFormat="1" x14ac:dyDescent="0.3"/>
    <row r="3065" s="430" customFormat="1" x14ac:dyDescent="0.3"/>
    <row r="3066" s="430" customFormat="1" x14ac:dyDescent="0.3"/>
    <row r="3067" s="430" customFormat="1" x14ac:dyDescent="0.3"/>
    <row r="3068" s="430" customFormat="1" x14ac:dyDescent="0.3"/>
    <row r="3069" s="430" customFormat="1" x14ac:dyDescent="0.3"/>
    <row r="3070" s="430" customFormat="1" x14ac:dyDescent="0.3"/>
    <row r="3071" s="430" customFormat="1" x14ac:dyDescent="0.3"/>
    <row r="3072" s="430" customFormat="1" x14ac:dyDescent="0.3"/>
    <row r="3073" s="430" customFormat="1" x14ac:dyDescent="0.3"/>
    <row r="3074" s="430" customFormat="1" x14ac:dyDescent="0.3"/>
    <row r="3075" s="430" customFormat="1" x14ac:dyDescent="0.3"/>
    <row r="3076" s="430" customFormat="1" x14ac:dyDescent="0.3"/>
    <row r="3077" s="430" customFormat="1" x14ac:dyDescent="0.3"/>
    <row r="3078" s="430" customFormat="1" x14ac:dyDescent="0.3"/>
    <row r="3079" s="430" customFormat="1" x14ac:dyDescent="0.3"/>
    <row r="3080" s="430" customFormat="1" x14ac:dyDescent="0.3"/>
    <row r="3081" s="430" customFormat="1" x14ac:dyDescent="0.3"/>
    <row r="3082" s="430" customFormat="1" x14ac:dyDescent="0.3"/>
    <row r="3083" s="430" customFormat="1" x14ac:dyDescent="0.3"/>
    <row r="3084" s="430" customFormat="1" x14ac:dyDescent="0.3"/>
    <row r="3085" s="430" customFormat="1" x14ac:dyDescent="0.3"/>
    <row r="3086" s="430" customFormat="1" x14ac:dyDescent="0.3"/>
    <row r="3087" s="430" customFormat="1" x14ac:dyDescent="0.3"/>
    <row r="3088" s="430" customFormat="1" x14ac:dyDescent="0.3"/>
    <row r="3089" s="430" customFormat="1" x14ac:dyDescent="0.3"/>
    <row r="3090" s="430" customFormat="1" x14ac:dyDescent="0.3"/>
    <row r="3091" s="430" customFormat="1" x14ac:dyDescent="0.3"/>
    <row r="3092" s="430" customFormat="1" x14ac:dyDescent="0.3"/>
    <row r="3093" s="430" customFormat="1" x14ac:dyDescent="0.3"/>
    <row r="3094" s="430" customFormat="1" x14ac:dyDescent="0.3"/>
    <row r="3095" s="430" customFormat="1" x14ac:dyDescent="0.3"/>
    <row r="3096" s="430" customFormat="1" x14ac:dyDescent="0.3"/>
    <row r="3097" s="430" customFormat="1" x14ac:dyDescent="0.3"/>
    <row r="3098" s="430" customFormat="1" x14ac:dyDescent="0.3"/>
    <row r="3099" s="430" customFormat="1" x14ac:dyDescent="0.3"/>
    <row r="3100" s="430" customFormat="1" x14ac:dyDescent="0.3"/>
    <row r="3101" s="430" customFormat="1" x14ac:dyDescent="0.3"/>
    <row r="3102" s="430" customFormat="1" x14ac:dyDescent="0.3"/>
    <row r="3103" s="430" customFormat="1" x14ac:dyDescent="0.3"/>
    <row r="3104" s="430" customFormat="1" x14ac:dyDescent="0.3"/>
    <row r="3105" s="430" customFormat="1" x14ac:dyDescent="0.3"/>
    <row r="3106" s="430" customFormat="1" x14ac:dyDescent="0.3"/>
    <row r="3107" s="430" customFormat="1" x14ac:dyDescent="0.3"/>
    <row r="3108" s="430" customFormat="1" x14ac:dyDescent="0.3"/>
    <row r="3109" s="430" customFormat="1" x14ac:dyDescent="0.3"/>
    <row r="3110" s="430" customFormat="1" x14ac:dyDescent="0.3"/>
    <row r="3111" s="430" customFormat="1" x14ac:dyDescent="0.3"/>
    <row r="3112" s="430" customFormat="1" x14ac:dyDescent="0.3"/>
    <row r="3113" s="430" customFormat="1" x14ac:dyDescent="0.3"/>
    <row r="3114" s="430" customFormat="1" x14ac:dyDescent="0.3"/>
    <row r="3115" s="430" customFormat="1" x14ac:dyDescent="0.3"/>
    <row r="3116" s="430" customFormat="1" x14ac:dyDescent="0.3"/>
    <row r="3117" s="430" customFormat="1" x14ac:dyDescent="0.3"/>
    <row r="3118" s="430" customFormat="1" x14ac:dyDescent="0.3"/>
    <row r="3119" s="430" customFormat="1" x14ac:dyDescent="0.3"/>
    <row r="3120" s="430" customFormat="1" x14ac:dyDescent="0.3"/>
    <row r="3121" s="430" customFormat="1" x14ac:dyDescent="0.3"/>
    <row r="3122" s="430" customFormat="1" x14ac:dyDescent="0.3"/>
    <row r="3123" s="430" customFormat="1" x14ac:dyDescent="0.3"/>
    <row r="3124" s="430" customFormat="1" x14ac:dyDescent="0.3"/>
    <row r="3125" s="430" customFormat="1" x14ac:dyDescent="0.3"/>
    <row r="3126" s="430" customFormat="1" x14ac:dyDescent="0.3"/>
    <row r="3127" s="430" customFormat="1" x14ac:dyDescent="0.3"/>
    <row r="3128" s="430" customFormat="1" x14ac:dyDescent="0.3"/>
    <row r="3129" s="430" customFormat="1" x14ac:dyDescent="0.3"/>
    <row r="3130" s="430" customFormat="1" x14ac:dyDescent="0.3"/>
    <row r="3131" s="430" customFormat="1" x14ac:dyDescent="0.3"/>
    <row r="3132" s="430" customFormat="1" x14ac:dyDescent="0.3"/>
    <row r="3133" s="430" customFormat="1" x14ac:dyDescent="0.3"/>
    <row r="3134" s="430" customFormat="1" x14ac:dyDescent="0.3"/>
    <row r="3135" s="430" customFormat="1" x14ac:dyDescent="0.3"/>
    <row r="3136" s="430" customFormat="1" x14ac:dyDescent="0.3"/>
    <row r="3137" s="430" customFormat="1" x14ac:dyDescent="0.3"/>
    <row r="3138" s="430" customFormat="1" x14ac:dyDescent="0.3"/>
    <row r="3139" s="430" customFormat="1" x14ac:dyDescent="0.3"/>
    <row r="3140" s="430" customFormat="1" x14ac:dyDescent="0.3"/>
    <row r="3141" s="430" customFormat="1" x14ac:dyDescent="0.3"/>
    <row r="3142" s="430" customFormat="1" x14ac:dyDescent="0.3"/>
    <row r="3143" s="430" customFormat="1" x14ac:dyDescent="0.3"/>
    <row r="3144" s="430" customFormat="1" x14ac:dyDescent="0.3"/>
    <row r="3145" s="430" customFormat="1" x14ac:dyDescent="0.3"/>
    <row r="3146" s="430" customFormat="1" x14ac:dyDescent="0.3"/>
    <row r="3147" s="430" customFormat="1" x14ac:dyDescent="0.3"/>
    <row r="3148" s="430" customFormat="1" x14ac:dyDescent="0.3"/>
    <row r="3149" s="430" customFormat="1" x14ac:dyDescent="0.3"/>
    <row r="3150" s="430" customFormat="1" x14ac:dyDescent="0.3"/>
    <row r="3151" s="430" customFormat="1" x14ac:dyDescent="0.3"/>
    <row r="3152" s="430" customFormat="1" x14ac:dyDescent="0.3"/>
    <row r="3153" s="430" customFormat="1" x14ac:dyDescent="0.3"/>
    <row r="3154" s="430" customFormat="1" x14ac:dyDescent="0.3"/>
    <row r="3155" s="430" customFormat="1" x14ac:dyDescent="0.3"/>
    <row r="3156" s="430" customFormat="1" x14ac:dyDescent="0.3"/>
    <row r="3157" s="430" customFormat="1" x14ac:dyDescent="0.3"/>
    <row r="3158" s="430" customFormat="1" x14ac:dyDescent="0.3"/>
    <row r="3159" s="430" customFormat="1" x14ac:dyDescent="0.3"/>
    <row r="3160" s="430" customFormat="1" x14ac:dyDescent="0.3"/>
    <row r="3161" s="430" customFormat="1" x14ac:dyDescent="0.3"/>
    <row r="3162" s="430" customFormat="1" x14ac:dyDescent="0.3"/>
    <row r="3163" s="430" customFormat="1" x14ac:dyDescent="0.3"/>
    <row r="3164" s="430" customFormat="1" x14ac:dyDescent="0.3"/>
    <row r="3165" s="430" customFormat="1" x14ac:dyDescent="0.3"/>
    <row r="3166" s="430" customFormat="1" x14ac:dyDescent="0.3"/>
    <row r="3167" s="430" customFormat="1" x14ac:dyDescent="0.3"/>
    <row r="3168" s="430" customFormat="1" x14ac:dyDescent="0.3"/>
    <row r="3169" s="430" customFormat="1" x14ac:dyDescent="0.3"/>
    <row r="3170" s="430" customFormat="1" x14ac:dyDescent="0.3"/>
    <row r="3171" s="430" customFormat="1" x14ac:dyDescent="0.3"/>
    <row r="3172" s="430" customFormat="1" x14ac:dyDescent="0.3"/>
    <row r="3173" s="430" customFormat="1" x14ac:dyDescent="0.3"/>
    <row r="3174" s="430" customFormat="1" x14ac:dyDescent="0.3"/>
    <row r="3175" s="430" customFormat="1" x14ac:dyDescent="0.3"/>
    <row r="3176" s="430" customFormat="1" x14ac:dyDescent="0.3"/>
    <row r="3177" s="430" customFormat="1" x14ac:dyDescent="0.3"/>
    <row r="3178" s="430" customFormat="1" x14ac:dyDescent="0.3"/>
    <row r="3179" s="430" customFormat="1" x14ac:dyDescent="0.3"/>
    <row r="3180" s="430" customFormat="1" x14ac:dyDescent="0.3"/>
    <row r="3181" s="430" customFormat="1" x14ac:dyDescent="0.3"/>
    <row r="3182" s="430" customFormat="1" x14ac:dyDescent="0.3"/>
    <row r="3183" s="430" customFormat="1" x14ac:dyDescent="0.3"/>
    <row r="3184" s="430" customFormat="1" x14ac:dyDescent="0.3"/>
    <row r="3185" s="430" customFormat="1" x14ac:dyDescent="0.3"/>
    <row r="3186" s="430" customFormat="1" x14ac:dyDescent="0.3"/>
    <row r="3187" s="430" customFormat="1" x14ac:dyDescent="0.3"/>
    <row r="3188" s="430" customFormat="1" x14ac:dyDescent="0.3"/>
    <row r="3189" s="430" customFormat="1" x14ac:dyDescent="0.3"/>
    <row r="3190" s="430" customFormat="1" x14ac:dyDescent="0.3"/>
    <row r="3191" s="430" customFormat="1" x14ac:dyDescent="0.3"/>
    <row r="3192" s="430" customFormat="1" x14ac:dyDescent="0.3"/>
    <row r="3193" s="430" customFormat="1" x14ac:dyDescent="0.3"/>
    <row r="3194" s="430" customFormat="1" x14ac:dyDescent="0.3"/>
    <row r="3195" s="430" customFormat="1" x14ac:dyDescent="0.3"/>
    <row r="3196" s="430" customFormat="1" x14ac:dyDescent="0.3"/>
    <row r="3197" s="430" customFormat="1" x14ac:dyDescent="0.3"/>
    <row r="3198" s="430" customFormat="1" x14ac:dyDescent="0.3"/>
    <row r="3199" s="430" customFormat="1" x14ac:dyDescent="0.3"/>
    <row r="3200" s="430" customFormat="1" x14ac:dyDescent="0.3"/>
    <row r="3201" s="430" customFormat="1" x14ac:dyDescent="0.3"/>
    <row r="3202" s="430" customFormat="1" x14ac:dyDescent="0.3"/>
    <row r="3203" s="430" customFormat="1" x14ac:dyDescent="0.3"/>
    <row r="3204" s="430" customFormat="1" x14ac:dyDescent="0.3"/>
    <row r="3205" s="430" customFormat="1" x14ac:dyDescent="0.3"/>
    <row r="3206" s="430" customFormat="1" x14ac:dyDescent="0.3"/>
    <row r="3207" s="430" customFormat="1" x14ac:dyDescent="0.3"/>
    <row r="3208" s="430" customFormat="1" x14ac:dyDescent="0.3"/>
    <row r="3209" s="430" customFormat="1" x14ac:dyDescent="0.3"/>
    <row r="3210" s="430" customFormat="1" x14ac:dyDescent="0.3"/>
    <row r="3211" s="430" customFormat="1" x14ac:dyDescent="0.3"/>
    <row r="3212" s="430" customFormat="1" x14ac:dyDescent="0.3"/>
    <row r="3213" s="430" customFormat="1" x14ac:dyDescent="0.3"/>
    <row r="3214" s="430" customFormat="1" x14ac:dyDescent="0.3"/>
    <row r="3215" s="430" customFormat="1" x14ac:dyDescent="0.3"/>
    <row r="3216" s="430" customFormat="1" x14ac:dyDescent="0.3"/>
    <row r="3217" s="430" customFormat="1" x14ac:dyDescent="0.3"/>
    <row r="3218" s="430" customFormat="1" x14ac:dyDescent="0.3"/>
    <row r="3219" s="430" customFormat="1" x14ac:dyDescent="0.3"/>
    <row r="3220" s="430" customFormat="1" x14ac:dyDescent="0.3"/>
    <row r="3221" s="430" customFormat="1" x14ac:dyDescent="0.3"/>
    <row r="3222" s="430" customFormat="1" x14ac:dyDescent="0.3"/>
    <row r="3223" s="430" customFormat="1" x14ac:dyDescent="0.3"/>
    <row r="3224" s="430" customFormat="1" x14ac:dyDescent="0.3"/>
    <row r="3225" s="430" customFormat="1" x14ac:dyDescent="0.3"/>
    <row r="3226" s="430" customFormat="1" x14ac:dyDescent="0.3"/>
    <row r="3227" s="430" customFormat="1" x14ac:dyDescent="0.3"/>
    <row r="3228" s="430" customFormat="1" x14ac:dyDescent="0.3"/>
    <row r="3229" s="430" customFormat="1" x14ac:dyDescent="0.3"/>
    <row r="3230" s="430" customFormat="1" x14ac:dyDescent="0.3"/>
    <row r="3231" s="430" customFormat="1" x14ac:dyDescent="0.3"/>
    <row r="3232" s="430" customFormat="1" x14ac:dyDescent="0.3"/>
    <row r="3233" s="430" customFormat="1" x14ac:dyDescent="0.3"/>
    <row r="3234" s="430" customFormat="1" x14ac:dyDescent="0.3"/>
    <row r="3235" s="430" customFormat="1" x14ac:dyDescent="0.3"/>
    <row r="3236" s="430" customFormat="1" x14ac:dyDescent="0.3"/>
    <row r="3237" s="430" customFormat="1" x14ac:dyDescent="0.3"/>
    <row r="3238" s="430" customFormat="1" x14ac:dyDescent="0.3"/>
    <row r="3239" s="430" customFormat="1" x14ac:dyDescent="0.3"/>
    <row r="3240" s="430" customFormat="1" x14ac:dyDescent="0.3"/>
    <row r="3241" s="430" customFormat="1" x14ac:dyDescent="0.3"/>
    <row r="3242" s="430" customFormat="1" x14ac:dyDescent="0.3"/>
    <row r="3243" s="430" customFormat="1" x14ac:dyDescent="0.3"/>
    <row r="3244" s="430" customFormat="1" x14ac:dyDescent="0.3"/>
    <row r="3245" s="430" customFormat="1" x14ac:dyDescent="0.3"/>
    <row r="3246" s="430" customFormat="1" x14ac:dyDescent="0.3"/>
    <row r="3247" s="430" customFormat="1" x14ac:dyDescent="0.3"/>
    <row r="3248" s="430" customFormat="1" x14ac:dyDescent="0.3"/>
    <row r="3249" s="430" customFormat="1" x14ac:dyDescent="0.3"/>
    <row r="3250" s="430" customFormat="1" x14ac:dyDescent="0.3"/>
    <row r="3251" s="430" customFormat="1" x14ac:dyDescent="0.3"/>
    <row r="3252" s="430" customFormat="1" x14ac:dyDescent="0.3"/>
    <row r="3253" s="430" customFormat="1" x14ac:dyDescent="0.3"/>
    <row r="3254" s="430" customFormat="1" x14ac:dyDescent="0.3"/>
    <row r="3255" s="430" customFormat="1" x14ac:dyDescent="0.3"/>
    <row r="3256" s="430" customFormat="1" x14ac:dyDescent="0.3"/>
    <row r="3257" s="430" customFormat="1" x14ac:dyDescent="0.3"/>
    <row r="3258" s="430" customFormat="1" x14ac:dyDescent="0.3"/>
    <row r="3259" s="430" customFormat="1" x14ac:dyDescent="0.3"/>
    <row r="3260" s="430" customFormat="1" x14ac:dyDescent="0.3"/>
    <row r="3261" s="430" customFormat="1" x14ac:dyDescent="0.3"/>
    <row r="3262" s="430" customFormat="1" x14ac:dyDescent="0.3"/>
    <row r="3263" s="430" customFormat="1" x14ac:dyDescent="0.3"/>
    <row r="3264" s="430" customFormat="1" x14ac:dyDescent="0.3"/>
    <row r="3265" s="430" customFormat="1" x14ac:dyDescent="0.3"/>
    <row r="3266" s="430" customFormat="1" x14ac:dyDescent="0.3"/>
    <row r="3267" s="430" customFormat="1" x14ac:dyDescent="0.3"/>
    <row r="3268" s="430" customFormat="1" x14ac:dyDescent="0.3"/>
    <row r="3269" s="430" customFormat="1" x14ac:dyDescent="0.3"/>
    <row r="3270" s="430" customFormat="1" x14ac:dyDescent="0.3"/>
    <row r="3271" s="430" customFormat="1" x14ac:dyDescent="0.3"/>
    <row r="3272" s="430" customFormat="1" x14ac:dyDescent="0.3"/>
    <row r="3273" s="430" customFormat="1" x14ac:dyDescent="0.3"/>
    <row r="3274" s="430" customFormat="1" x14ac:dyDescent="0.3"/>
    <row r="3275" s="430" customFormat="1" x14ac:dyDescent="0.3"/>
    <row r="3276" s="430" customFormat="1" x14ac:dyDescent="0.3"/>
    <row r="3277" s="430" customFormat="1" x14ac:dyDescent="0.3"/>
    <row r="3278" s="430" customFormat="1" x14ac:dyDescent="0.3"/>
    <row r="3279" s="430" customFormat="1" x14ac:dyDescent="0.3"/>
    <row r="3280" s="430" customFormat="1" x14ac:dyDescent="0.3"/>
    <row r="3281" s="430" customFormat="1" x14ac:dyDescent="0.3"/>
    <row r="3282" s="430" customFormat="1" x14ac:dyDescent="0.3"/>
    <row r="3283" s="430" customFormat="1" x14ac:dyDescent="0.3"/>
    <row r="3284" s="430" customFormat="1" x14ac:dyDescent="0.3"/>
    <row r="3285" s="430" customFormat="1" x14ac:dyDescent="0.3"/>
    <row r="3286" s="430" customFormat="1" x14ac:dyDescent="0.3"/>
    <row r="3287" s="430" customFormat="1" x14ac:dyDescent="0.3"/>
    <row r="3288" s="430" customFormat="1" x14ac:dyDescent="0.3"/>
    <row r="3289" s="430" customFormat="1" x14ac:dyDescent="0.3"/>
    <row r="3290" s="430" customFormat="1" x14ac:dyDescent="0.3"/>
    <row r="3291" s="430" customFormat="1" x14ac:dyDescent="0.3"/>
    <row r="3292" s="430" customFormat="1" x14ac:dyDescent="0.3"/>
    <row r="3293" s="430" customFormat="1" x14ac:dyDescent="0.3"/>
    <row r="3294" s="430" customFormat="1" x14ac:dyDescent="0.3"/>
    <row r="3295" s="430" customFormat="1" x14ac:dyDescent="0.3"/>
    <row r="3296" s="430" customFormat="1" x14ac:dyDescent="0.3"/>
    <row r="3297" s="430" customFormat="1" x14ac:dyDescent="0.3"/>
    <row r="3298" s="430" customFormat="1" x14ac:dyDescent="0.3"/>
    <row r="3299" s="430" customFormat="1" x14ac:dyDescent="0.3"/>
    <row r="3300" s="430" customFormat="1" x14ac:dyDescent="0.3"/>
    <row r="3301" s="430" customFormat="1" x14ac:dyDescent="0.3"/>
    <row r="3302" s="430" customFormat="1" x14ac:dyDescent="0.3"/>
    <row r="3303" s="430" customFormat="1" x14ac:dyDescent="0.3"/>
    <row r="3304" s="430" customFormat="1" x14ac:dyDescent="0.3"/>
    <row r="3305" s="430" customFormat="1" x14ac:dyDescent="0.3"/>
    <row r="3306" s="430" customFormat="1" x14ac:dyDescent="0.3"/>
    <row r="3307" s="430" customFormat="1" x14ac:dyDescent="0.3"/>
    <row r="3308" s="430" customFormat="1" x14ac:dyDescent="0.3"/>
    <row r="3309" s="430" customFormat="1" x14ac:dyDescent="0.3"/>
    <row r="3310" s="430" customFormat="1" x14ac:dyDescent="0.3"/>
    <row r="3311" s="430" customFormat="1" x14ac:dyDescent="0.3"/>
    <row r="3312" s="430" customFormat="1" x14ac:dyDescent="0.3"/>
    <row r="3313" s="430" customFormat="1" x14ac:dyDescent="0.3"/>
    <row r="3314" s="430" customFormat="1" x14ac:dyDescent="0.3"/>
    <row r="3315" s="430" customFormat="1" x14ac:dyDescent="0.3"/>
    <row r="3316" s="430" customFormat="1" x14ac:dyDescent="0.3"/>
    <row r="3317" s="430" customFormat="1" x14ac:dyDescent="0.3"/>
    <row r="3318" s="430" customFormat="1" x14ac:dyDescent="0.3"/>
    <row r="3319" s="430" customFormat="1" x14ac:dyDescent="0.3"/>
    <row r="3320" s="430" customFormat="1" x14ac:dyDescent="0.3"/>
    <row r="3321" s="430" customFormat="1" x14ac:dyDescent="0.3"/>
    <row r="3322" s="430" customFormat="1" x14ac:dyDescent="0.3"/>
    <row r="3323" s="430" customFormat="1" x14ac:dyDescent="0.3"/>
    <row r="3324" s="430" customFormat="1" x14ac:dyDescent="0.3"/>
    <row r="3325" s="430" customFormat="1" x14ac:dyDescent="0.3"/>
    <row r="3326" s="430" customFormat="1" x14ac:dyDescent="0.3"/>
    <row r="3327" s="430" customFormat="1" x14ac:dyDescent="0.3"/>
    <row r="3328" s="430" customFormat="1" x14ac:dyDescent="0.3"/>
    <row r="3329" s="430" customFormat="1" x14ac:dyDescent="0.3"/>
    <row r="3330" s="430" customFormat="1" x14ac:dyDescent="0.3"/>
    <row r="3331" s="430" customFormat="1" x14ac:dyDescent="0.3"/>
    <row r="3332" s="430" customFormat="1" x14ac:dyDescent="0.3"/>
    <row r="3333" s="430" customFormat="1" x14ac:dyDescent="0.3"/>
    <row r="3334" s="430" customFormat="1" x14ac:dyDescent="0.3"/>
    <row r="3335" s="430" customFormat="1" x14ac:dyDescent="0.3"/>
    <row r="3336" s="430" customFormat="1" x14ac:dyDescent="0.3"/>
    <row r="3337" s="430" customFormat="1" x14ac:dyDescent="0.3"/>
    <row r="3338" s="430" customFormat="1" x14ac:dyDescent="0.3"/>
    <row r="3339" s="430" customFormat="1" x14ac:dyDescent="0.3"/>
    <row r="3340" s="430" customFormat="1" x14ac:dyDescent="0.3"/>
    <row r="3341" s="430" customFormat="1" x14ac:dyDescent="0.3"/>
    <row r="3342" s="430" customFormat="1" x14ac:dyDescent="0.3"/>
    <row r="3343" s="430" customFormat="1" x14ac:dyDescent="0.3"/>
    <row r="3344" s="430" customFormat="1" x14ac:dyDescent="0.3"/>
    <row r="3345" s="430" customFormat="1" x14ac:dyDescent="0.3"/>
    <row r="3346" s="430" customFormat="1" x14ac:dyDescent="0.3"/>
    <row r="3347" s="430" customFormat="1" x14ac:dyDescent="0.3"/>
    <row r="3348" s="430" customFormat="1" x14ac:dyDescent="0.3"/>
    <row r="3349" s="430" customFormat="1" x14ac:dyDescent="0.3"/>
    <row r="3350" s="430" customFormat="1" x14ac:dyDescent="0.3"/>
    <row r="3351" s="430" customFormat="1" x14ac:dyDescent="0.3"/>
    <row r="3352" s="430" customFormat="1" x14ac:dyDescent="0.3"/>
    <row r="3353" s="430" customFormat="1" x14ac:dyDescent="0.3"/>
    <row r="3354" s="430" customFormat="1" x14ac:dyDescent="0.3"/>
    <row r="3355" s="430" customFormat="1" x14ac:dyDescent="0.3"/>
    <row r="3356" s="430" customFormat="1" x14ac:dyDescent="0.3"/>
    <row r="3357" s="430" customFormat="1" x14ac:dyDescent="0.3"/>
    <row r="3358" s="430" customFormat="1" x14ac:dyDescent="0.3"/>
    <row r="3359" s="430" customFormat="1" x14ac:dyDescent="0.3"/>
    <row r="3360" s="430" customFormat="1" x14ac:dyDescent="0.3"/>
    <row r="3361" s="430" customFormat="1" x14ac:dyDescent="0.3"/>
    <row r="3362" s="430" customFormat="1" x14ac:dyDescent="0.3"/>
    <row r="3363" s="430" customFormat="1" x14ac:dyDescent="0.3"/>
    <row r="3364" s="430" customFormat="1" x14ac:dyDescent="0.3"/>
    <row r="3365" s="430" customFormat="1" x14ac:dyDescent="0.3"/>
    <row r="3366" s="430" customFormat="1" x14ac:dyDescent="0.3"/>
    <row r="3367" s="430" customFormat="1" x14ac:dyDescent="0.3"/>
    <row r="3368" s="430" customFormat="1" x14ac:dyDescent="0.3"/>
    <row r="3369" s="430" customFormat="1" x14ac:dyDescent="0.3"/>
    <row r="3370" s="430" customFormat="1" x14ac:dyDescent="0.3"/>
    <row r="3371" s="430" customFormat="1" x14ac:dyDescent="0.3"/>
    <row r="3372" s="430" customFormat="1" x14ac:dyDescent="0.3"/>
    <row r="3373" s="430" customFormat="1" x14ac:dyDescent="0.3"/>
    <row r="3374" s="430" customFormat="1" x14ac:dyDescent="0.3"/>
    <row r="3375" s="430" customFormat="1" x14ac:dyDescent="0.3"/>
    <row r="3376" s="430" customFormat="1" x14ac:dyDescent="0.3"/>
    <row r="3377" s="430" customFormat="1" x14ac:dyDescent="0.3"/>
    <row r="3378" s="430" customFormat="1" x14ac:dyDescent="0.3"/>
    <row r="3379" s="430" customFormat="1" x14ac:dyDescent="0.3"/>
    <row r="3380" s="430" customFormat="1" x14ac:dyDescent="0.3"/>
    <row r="3381" s="430" customFormat="1" x14ac:dyDescent="0.3"/>
    <row r="3382" s="430" customFormat="1" x14ac:dyDescent="0.3"/>
    <row r="3383" s="430" customFormat="1" x14ac:dyDescent="0.3"/>
    <row r="3384" s="430" customFormat="1" x14ac:dyDescent="0.3"/>
    <row r="3385" s="430" customFormat="1" x14ac:dyDescent="0.3"/>
    <row r="3386" s="430" customFormat="1" x14ac:dyDescent="0.3"/>
    <row r="3387" s="430" customFormat="1" x14ac:dyDescent="0.3"/>
    <row r="3388" s="430" customFormat="1" x14ac:dyDescent="0.3"/>
    <row r="3389" s="430" customFormat="1" x14ac:dyDescent="0.3"/>
    <row r="3390" s="430" customFormat="1" x14ac:dyDescent="0.3"/>
    <row r="3391" s="430" customFormat="1" x14ac:dyDescent="0.3"/>
    <row r="3392" s="430" customFormat="1" x14ac:dyDescent="0.3"/>
    <row r="3393" s="430" customFormat="1" x14ac:dyDescent="0.3"/>
    <row r="3394" s="430" customFormat="1" x14ac:dyDescent="0.3"/>
    <row r="3395" s="430" customFormat="1" x14ac:dyDescent="0.3"/>
    <row r="3396" s="430" customFormat="1" x14ac:dyDescent="0.3"/>
    <row r="3397" s="430" customFormat="1" x14ac:dyDescent="0.3"/>
    <row r="3398" s="430" customFormat="1" x14ac:dyDescent="0.3"/>
    <row r="3399" s="430" customFormat="1" x14ac:dyDescent="0.3"/>
    <row r="3400" s="430" customFormat="1" x14ac:dyDescent="0.3"/>
    <row r="3401" s="430" customFormat="1" x14ac:dyDescent="0.3"/>
    <row r="3402" s="430" customFormat="1" x14ac:dyDescent="0.3"/>
    <row r="3403" s="430" customFormat="1" x14ac:dyDescent="0.3"/>
    <row r="3404" s="430" customFormat="1" x14ac:dyDescent="0.3"/>
    <row r="3405" s="430" customFormat="1" x14ac:dyDescent="0.3"/>
    <row r="3406" s="430" customFormat="1" x14ac:dyDescent="0.3"/>
    <row r="3407" s="430" customFormat="1" x14ac:dyDescent="0.3"/>
    <row r="3408" s="430" customFormat="1" x14ac:dyDescent="0.3"/>
    <row r="3409" s="430" customFormat="1" x14ac:dyDescent="0.3"/>
    <row r="3410" s="430" customFormat="1" x14ac:dyDescent="0.3"/>
    <row r="3411" s="430" customFormat="1" x14ac:dyDescent="0.3"/>
    <row r="3412" s="430" customFormat="1" x14ac:dyDescent="0.3"/>
    <row r="3413" s="430" customFormat="1" x14ac:dyDescent="0.3"/>
    <row r="3414" s="430" customFormat="1" x14ac:dyDescent="0.3"/>
    <row r="3415" s="430" customFormat="1" x14ac:dyDescent="0.3"/>
    <row r="3416" s="430" customFormat="1" x14ac:dyDescent="0.3"/>
    <row r="3417" s="430" customFormat="1" x14ac:dyDescent="0.3"/>
    <row r="3418" s="430" customFormat="1" x14ac:dyDescent="0.3"/>
    <row r="3419" s="430" customFormat="1" x14ac:dyDescent="0.3"/>
    <row r="3420" s="430" customFormat="1" x14ac:dyDescent="0.3"/>
    <row r="3421" s="430" customFormat="1" x14ac:dyDescent="0.3"/>
    <row r="3422" s="430" customFormat="1" x14ac:dyDescent="0.3"/>
    <row r="3423" s="430" customFormat="1" x14ac:dyDescent="0.3"/>
    <row r="3424" s="430" customFormat="1" x14ac:dyDescent="0.3"/>
    <row r="3425" s="430" customFormat="1" x14ac:dyDescent="0.3"/>
    <row r="3426" s="430" customFormat="1" x14ac:dyDescent="0.3"/>
    <row r="3427" s="430" customFormat="1" x14ac:dyDescent="0.3"/>
    <row r="3428" s="430" customFormat="1" x14ac:dyDescent="0.3"/>
    <row r="3429" s="430" customFormat="1" x14ac:dyDescent="0.3"/>
    <row r="3430" s="430" customFormat="1" x14ac:dyDescent="0.3"/>
    <row r="3431" s="430" customFormat="1" x14ac:dyDescent="0.3"/>
    <row r="3432" s="430" customFormat="1" x14ac:dyDescent="0.3"/>
    <row r="3433" s="430" customFormat="1" x14ac:dyDescent="0.3"/>
    <row r="3434" s="430" customFormat="1" x14ac:dyDescent="0.3"/>
    <row r="3435" s="430" customFormat="1" x14ac:dyDescent="0.3"/>
    <row r="3436" s="430" customFormat="1" x14ac:dyDescent="0.3"/>
    <row r="3437" s="430" customFormat="1" x14ac:dyDescent="0.3"/>
    <row r="3438" s="430" customFormat="1" x14ac:dyDescent="0.3"/>
    <row r="3439" s="430" customFormat="1" x14ac:dyDescent="0.3"/>
    <row r="3440" s="430" customFormat="1" x14ac:dyDescent="0.3"/>
    <row r="3441" s="430" customFormat="1" x14ac:dyDescent="0.3"/>
    <row r="3442" s="430" customFormat="1" x14ac:dyDescent="0.3"/>
    <row r="3443" s="430" customFormat="1" x14ac:dyDescent="0.3"/>
    <row r="3444" s="430" customFormat="1" x14ac:dyDescent="0.3"/>
    <row r="3445" s="430" customFormat="1" x14ac:dyDescent="0.3"/>
    <row r="3446" s="430" customFormat="1" x14ac:dyDescent="0.3"/>
    <row r="3447" s="430" customFormat="1" x14ac:dyDescent="0.3"/>
    <row r="3448" s="430" customFormat="1" x14ac:dyDescent="0.3"/>
    <row r="3449" s="430" customFormat="1" x14ac:dyDescent="0.3"/>
    <row r="3450" s="430" customFormat="1" x14ac:dyDescent="0.3"/>
    <row r="3451" s="430" customFormat="1" x14ac:dyDescent="0.3"/>
    <row r="3452" s="430" customFormat="1" x14ac:dyDescent="0.3"/>
    <row r="3453" s="430" customFormat="1" x14ac:dyDescent="0.3"/>
    <row r="3454" s="430" customFormat="1" x14ac:dyDescent="0.3"/>
    <row r="3455" s="430" customFormat="1" x14ac:dyDescent="0.3"/>
    <row r="3456" s="430" customFormat="1" x14ac:dyDescent="0.3"/>
    <row r="3457" s="430" customFormat="1" x14ac:dyDescent="0.3"/>
    <row r="3458" s="430" customFormat="1" x14ac:dyDescent="0.3"/>
    <row r="3459" s="430" customFormat="1" x14ac:dyDescent="0.3"/>
    <row r="3460" s="430" customFormat="1" x14ac:dyDescent="0.3"/>
    <row r="3461" s="430" customFormat="1" x14ac:dyDescent="0.3"/>
    <row r="3462" s="430" customFormat="1" x14ac:dyDescent="0.3"/>
    <row r="3463" s="430" customFormat="1" x14ac:dyDescent="0.3"/>
    <row r="3464" s="430" customFormat="1" x14ac:dyDescent="0.3"/>
    <row r="3465" s="430" customFormat="1" x14ac:dyDescent="0.3"/>
    <row r="3466" s="430" customFormat="1" x14ac:dyDescent="0.3"/>
    <row r="3467" s="430" customFormat="1" x14ac:dyDescent="0.3"/>
    <row r="3468" s="430" customFormat="1" x14ac:dyDescent="0.3"/>
    <row r="3469" s="430" customFormat="1" x14ac:dyDescent="0.3"/>
    <row r="3470" s="430" customFormat="1" x14ac:dyDescent="0.3"/>
    <row r="3471" s="430" customFormat="1" x14ac:dyDescent="0.3"/>
    <row r="3472" s="430" customFormat="1" x14ac:dyDescent="0.3"/>
    <row r="3473" s="430" customFormat="1" x14ac:dyDescent="0.3"/>
    <row r="3474" s="430" customFormat="1" x14ac:dyDescent="0.3"/>
    <row r="3475" s="430" customFormat="1" x14ac:dyDescent="0.3"/>
    <row r="3476" s="430" customFormat="1" x14ac:dyDescent="0.3"/>
    <row r="3477" s="430" customFormat="1" x14ac:dyDescent="0.3"/>
    <row r="3478" s="430" customFormat="1" x14ac:dyDescent="0.3"/>
    <row r="3479" s="430" customFormat="1" x14ac:dyDescent="0.3"/>
    <row r="3480" s="430" customFormat="1" x14ac:dyDescent="0.3"/>
    <row r="3481" s="430" customFormat="1" x14ac:dyDescent="0.3"/>
    <row r="3482" s="430" customFormat="1" x14ac:dyDescent="0.3"/>
    <row r="3483" s="430" customFormat="1" x14ac:dyDescent="0.3"/>
    <row r="3484" s="430" customFormat="1" x14ac:dyDescent="0.3"/>
    <row r="3485" s="430" customFormat="1" x14ac:dyDescent="0.3"/>
    <row r="3486" s="430" customFormat="1" x14ac:dyDescent="0.3"/>
    <row r="3487" s="430" customFormat="1" x14ac:dyDescent="0.3"/>
    <row r="3488" s="430" customFormat="1" x14ac:dyDescent="0.3"/>
    <row r="3489" s="430" customFormat="1" x14ac:dyDescent="0.3"/>
    <row r="3490" s="430" customFormat="1" x14ac:dyDescent="0.3"/>
    <row r="3491" s="430" customFormat="1" x14ac:dyDescent="0.3"/>
    <row r="3492" s="430" customFormat="1" x14ac:dyDescent="0.3"/>
    <row r="3493" s="430" customFormat="1" x14ac:dyDescent="0.3"/>
    <row r="3494" s="430" customFormat="1" x14ac:dyDescent="0.3"/>
    <row r="3495" s="430" customFormat="1" x14ac:dyDescent="0.3"/>
    <row r="3496" s="430" customFormat="1" x14ac:dyDescent="0.3"/>
    <row r="3497" s="430" customFormat="1" x14ac:dyDescent="0.3"/>
    <row r="3498" s="430" customFormat="1" x14ac:dyDescent="0.3"/>
    <row r="3499" s="430" customFormat="1" x14ac:dyDescent="0.3"/>
    <row r="3500" s="430" customFormat="1" x14ac:dyDescent="0.3"/>
    <row r="3501" s="430" customFormat="1" x14ac:dyDescent="0.3"/>
    <row r="3502" s="430" customFormat="1" x14ac:dyDescent="0.3"/>
    <row r="3503" s="430" customFormat="1" x14ac:dyDescent="0.3"/>
    <row r="3504" s="430" customFormat="1" x14ac:dyDescent="0.3"/>
    <row r="3505" s="430" customFormat="1" x14ac:dyDescent="0.3"/>
    <row r="3506" s="430" customFormat="1" x14ac:dyDescent="0.3"/>
    <row r="3507" s="430" customFormat="1" x14ac:dyDescent="0.3"/>
    <row r="3508" s="430" customFormat="1" x14ac:dyDescent="0.3"/>
    <row r="3509" s="430" customFormat="1" x14ac:dyDescent="0.3"/>
    <row r="3510" s="430" customFormat="1" x14ac:dyDescent="0.3"/>
    <row r="3511" s="430" customFormat="1" x14ac:dyDescent="0.3"/>
    <row r="3512" s="430" customFormat="1" x14ac:dyDescent="0.3"/>
    <row r="3513" s="430" customFormat="1" x14ac:dyDescent="0.3"/>
    <row r="3514" s="430" customFormat="1" x14ac:dyDescent="0.3"/>
    <row r="3515" s="430" customFormat="1" x14ac:dyDescent="0.3"/>
    <row r="3516" s="430" customFormat="1" x14ac:dyDescent="0.3"/>
    <row r="3517" s="430" customFormat="1" x14ac:dyDescent="0.3"/>
    <row r="3518" s="430" customFormat="1" x14ac:dyDescent="0.3"/>
    <row r="3519" s="430" customFormat="1" x14ac:dyDescent="0.3"/>
    <row r="3520" s="430" customFormat="1" x14ac:dyDescent="0.3"/>
    <row r="3521" s="430" customFormat="1" x14ac:dyDescent="0.3"/>
    <row r="3522" s="430" customFormat="1" x14ac:dyDescent="0.3"/>
    <row r="3523" s="430" customFormat="1" x14ac:dyDescent="0.3"/>
    <row r="3524" s="430" customFormat="1" x14ac:dyDescent="0.3"/>
    <row r="3525" s="430" customFormat="1" x14ac:dyDescent="0.3"/>
    <row r="3526" s="430" customFormat="1" x14ac:dyDescent="0.3"/>
    <row r="3527" s="430" customFormat="1" x14ac:dyDescent="0.3"/>
    <row r="3528" s="430" customFormat="1" x14ac:dyDescent="0.3"/>
    <row r="3529" s="430" customFormat="1" x14ac:dyDescent="0.3"/>
    <row r="3530" s="430" customFormat="1" x14ac:dyDescent="0.3"/>
    <row r="3531" s="430" customFormat="1" x14ac:dyDescent="0.3"/>
    <row r="3532" s="430" customFormat="1" x14ac:dyDescent="0.3"/>
    <row r="3533" s="430" customFormat="1" x14ac:dyDescent="0.3"/>
    <row r="3534" s="430" customFormat="1" x14ac:dyDescent="0.3"/>
    <row r="3535" s="430" customFormat="1" x14ac:dyDescent="0.3"/>
    <row r="3536" s="430" customFormat="1" x14ac:dyDescent="0.3"/>
    <row r="3537" s="430" customFormat="1" x14ac:dyDescent="0.3"/>
    <row r="3538" s="430" customFormat="1" x14ac:dyDescent="0.3"/>
    <row r="3539" s="430" customFormat="1" x14ac:dyDescent="0.3"/>
    <row r="3540" s="430" customFormat="1" x14ac:dyDescent="0.3"/>
    <row r="3541" s="430" customFormat="1" x14ac:dyDescent="0.3"/>
    <row r="3542" s="430" customFormat="1" x14ac:dyDescent="0.3"/>
    <row r="3543" s="430" customFormat="1" x14ac:dyDescent="0.3"/>
    <row r="3544" s="430" customFormat="1" x14ac:dyDescent="0.3"/>
    <row r="3545" s="430" customFormat="1" x14ac:dyDescent="0.3"/>
    <row r="3546" s="430" customFormat="1" x14ac:dyDescent="0.3"/>
    <row r="3547" s="430" customFormat="1" x14ac:dyDescent="0.3"/>
    <row r="3548" s="430" customFormat="1" x14ac:dyDescent="0.3"/>
    <row r="3549" s="430" customFormat="1" x14ac:dyDescent="0.3"/>
    <row r="3550" s="430" customFormat="1" x14ac:dyDescent="0.3"/>
    <row r="3551" s="430" customFormat="1" x14ac:dyDescent="0.3"/>
    <row r="3552" s="430" customFormat="1" x14ac:dyDescent="0.3"/>
    <row r="3553" s="430" customFormat="1" x14ac:dyDescent="0.3"/>
    <row r="3554" s="430" customFormat="1" x14ac:dyDescent="0.3"/>
    <row r="3555" s="430" customFormat="1" x14ac:dyDescent="0.3"/>
    <row r="3556" s="430" customFormat="1" x14ac:dyDescent="0.3"/>
    <row r="3557" s="430" customFormat="1" x14ac:dyDescent="0.3"/>
    <row r="3558" s="430" customFormat="1" x14ac:dyDescent="0.3"/>
    <row r="3559" s="430" customFormat="1" x14ac:dyDescent="0.3"/>
    <row r="3560" s="430" customFormat="1" x14ac:dyDescent="0.3"/>
    <row r="3561" s="430" customFormat="1" x14ac:dyDescent="0.3"/>
    <row r="3562" s="430" customFormat="1" x14ac:dyDescent="0.3"/>
    <row r="3563" s="430" customFormat="1" x14ac:dyDescent="0.3"/>
    <row r="3564" s="430" customFormat="1" x14ac:dyDescent="0.3"/>
    <row r="3565" s="430" customFormat="1" x14ac:dyDescent="0.3"/>
    <row r="3566" s="430" customFormat="1" x14ac:dyDescent="0.3"/>
    <row r="3567" s="430" customFormat="1" x14ac:dyDescent="0.3"/>
    <row r="3568" s="430" customFormat="1" x14ac:dyDescent="0.3"/>
    <row r="3569" s="430" customFormat="1" x14ac:dyDescent="0.3"/>
    <row r="3570" s="430" customFormat="1" x14ac:dyDescent="0.3"/>
    <row r="3571" s="430" customFormat="1" x14ac:dyDescent="0.3"/>
    <row r="3572" s="430" customFormat="1" x14ac:dyDescent="0.3"/>
    <row r="3573" s="430" customFormat="1" x14ac:dyDescent="0.3"/>
    <row r="3574" s="430" customFormat="1" x14ac:dyDescent="0.3"/>
    <row r="3575" s="430" customFormat="1" x14ac:dyDescent="0.3"/>
    <row r="3576" s="430" customFormat="1" x14ac:dyDescent="0.3"/>
    <row r="3577" s="430" customFormat="1" x14ac:dyDescent="0.3"/>
    <row r="3578" s="430" customFormat="1" x14ac:dyDescent="0.3"/>
    <row r="3579" s="430" customFormat="1" x14ac:dyDescent="0.3"/>
    <row r="3580" s="430" customFormat="1" x14ac:dyDescent="0.3"/>
    <row r="3581" s="430" customFormat="1" x14ac:dyDescent="0.3"/>
    <row r="3582" s="430" customFormat="1" x14ac:dyDescent="0.3"/>
    <row r="3583" s="430" customFormat="1" x14ac:dyDescent="0.3"/>
    <row r="3584" s="430" customFormat="1" x14ac:dyDescent="0.3"/>
    <row r="3585" s="430" customFormat="1" x14ac:dyDescent="0.3"/>
    <row r="3586" s="430" customFormat="1" x14ac:dyDescent="0.3"/>
    <row r="3587" s="430" customFormat="1" x14ac:dyDescent="0.3"/>
    <row r="3588" s="430" customFormat="1" x14ac:dyDescent="0.3"/>
    <row r="3589" s="430" customFormat="1" x14ac:dyDescent="0.3"/>
    <row r="3590" s="430" customFormat="1" x14ac:dyDescent="0.3"/>
    <row r="3591" s="430" customFormat="1" x14ac:dyDescent="0.3"/>
    <row r="3592" s="430" customFormat="1" x14ac:dyDescent="0.3"/>
    <row r="3593" s="430" customFormat="1" x14ac:dyDescent="0.3"/>
    <row r="3594" s="430" customFormat="1" x14ac:dyDescent="0.3"/>
    <row r="3595" s="430" customFormat="1" x14ac:dyDescent="0.3"/>
    <row r="3596" s="430" customFormat="1" x14ac:dyDescent="0.3"/>
    <row r="3597" s="430" customFormat="1" x14ac:dyDescent="0.3"/>
    <row r="3598" s="430" customFormat="1" x14ac:dyDescent="0.3"/>
    <row r="3599" s="430" customFormat="1" x14ac:dyDescent="0.3"/>
    <row r="3600" s="430" customFormat="1" x14ac:dyDescent="0.3"/>
    <row r="3601" s="430" customFormat="1" x14ac:dyDescent="0.3"/>
    <row r="3602" s="430" customFormat="1" x14ac:dyDescent="0.3"/>
    <row r="3603" s="430" customFormat="1" x14ac:dyDescent="0.3"/>
    <row r="3604" s="430" customFormat="1" x14ac:dyDescent="0.3"/>
    <row r="3605" s="430" customFormat="1" x14ac:dyDescent="0.3"/>
    <row r="3606" s="430" customFormat="1" x14ac:dyDescent="0.3"/>
    <row r="3607" s="430" customFormat="1" x14ac:dyDescent="0.3"/>
    <row r="3608" s="430" customFormat="1" x14ac:dyDescent="0.3"/>
    <row r="3609" s="430" customFormat="1" x14ac:dyDescent="0.3"/>
    <row r="3610" s="430" customFormat="1" x14ac:dyDescent="0.3"/>
    <row r="3611" s="430" customFormat="1" x14ac:dyDescent="0.3"/>
    <row r="3612" s="430" customFormat="1" x14ac:dyDescent="0.3"/>
    <row r="3613" s="430" customFormat="1" x14ac:dyDescent="0.3"/>
    <row r="3614" s="430" customFormat="1" x14ac:dyDescent="0.3"/>
    <row r="3615" s="430" customFormat="1" x14ac:dyDescent="0.3"/>
    <row r="3616" s="430" customFormat="1" x14ac:dyDescent="0.3"/>
    <row r="3617" s="430" customFormat="1" x14ac:dyDescent="0.3"/>
    <row r="3618" s="430" customFormat="1" x14ac:dyDescent="0.3"/>
    <row r="3619" s="430" customFormat="1" x14ac:dyDescent="0.3"/>
    <row r="3620" s="430" customFormat="1" x14ac:dyDescent="0.3"/>
    <row r="3621" s="430" customFormat="1" x14ac:dyDescent="0.3"/>
    <row r="3622" s="430" customFormat="1" x14ac:dyDescent="0.3"/>
    <row r="3623" s="430" customFormat="1" x14ac:dyDescent="0.3"/>
    <row r="3624" s="430" customFormat="1" x14ac:dyDescent="0.3"/>
    <row r="3625" s="430" customFormat="1" x14ac:dyDescent="0.3"/>
    <row r="3626" s="430" customFormat="1" x14ac:dyDescent="0.3"/>
    <row r="3627" s="430" customFormat="1" x14ac:dyDescent="0.3"/>
    <row r="3628" s="430" customFormat="1" x14ac:dyDescent="0.3"/>
    <row r="3629" s="430" customFormat="1" x14ac:dyDescent="0.3"/>
    <row r="3630" s="430" customFormat="1" x14ac:dyDescent="0.3"/>
    <row r="3631" s="430" customFormat="1" x14ac:dyDescent="0.3"/>
    <row r="3632" s="430" customFormat="1" x14ac:dyDescent="0.3"/>
    <row r="3633" s="430" customFormat="1" x14ac:dyDescent="0.3"/>
    <row r="3634" s="430" customFormat="1" x14ac:dyDescent="0.3"/>
    <row r="3635" s="430" customFormat="1" x14ac:dyDescent="0.3"/>
    <row r="3636" s="430" customFormat="1" x14ac:dyDescent="0.3"/>
    <row r="3637" s="430" customFormat="1" x14ac:dyDescent="0.3"/>
    <row r="3638" s="430" customFormat="1" x14ac:dyDescent="0.3"/>
    <row r="3639" s="430" customFormat="1" x14ac:dyDescent="0.3"/>
    <row r="3640" s="430" customFormat="1" x14ac:dyDescent="0.3"/>
    <row r="3641" s="430" customFormat="1" x14ac:dyDescent="0.3"/>
    <row r="3642" s="430" customFormat="1" x14ac:dyDescent="0.3"/>
    <row r="3643" s="430" customFormat="1" x14ac:dyDescent="0.3"/>
    <row r="3644" s="430" customFormat="1" x14ac:dyDescent="0.3"/>
    <row r="3645" s="430" customFormat="1" x14ac:dyDescent="0.3"/>
    <row r="3646" s="430" customFormat="1" x14ac:dyDescent="0.3"/>
    <row r="3647" s="430" customFormat="1" x14ac:dyDescent="0.3"/>
    <row r="3648" s="430" customFormat="1" x14ac:dyDescent="0.3"/>
    <row r="3649" s="430" customFormat="1" x14ac:dyDescent="0.3"/>
    <row r="3650" s="430" customFormat="1" x14ac:dyDescent="0.3"/>
    <row r="3651" s="430" customFormat="1" x14ac:dyDescent="0.3"/>
    <row r="3652" s="430" customFormat="1" x14ac:dyDescent="0.3"/>
    <row r="3653" s="430" customFormat="1" x14ac:dyDescent="0.3"/>
    <row r="3654" s="430" customFormat="1" x14ac:dyDescent="0.3"/>
    <row r="3655" s="430" customFormat="1" x14ac:dyDescent="0.3"/>
    <row r="3656" s="430" customFormat="1" x14ac:dyDescent="0.3"/>
    <row r="3657" s="430" customFormat="1" x14ac:dyDescent="0.3"/>
    <row r="3658" s="430" customFormat="1" x14ac:dyDescent="0.3"/>
    <row r="3659" s="430" customFormat="1" x14ac:dyDescent="0.3"/>
    <row r="3660" s="430" customFormat="1" x14ac:dyDescent="0.3"/>
    <row r="3661" s="430" customFormat="1" x14ac:dyDescent="0.3"/>
    <row r="3662" s="430" customFormat="1" x14ac:dyDescent="0.3"/>
    <row r="3663" s="430" customFormat="1" x14ac:dyDescent="0.3"/>
    <row r="3664" s="430" customFormat="1" x14ac:dyDescent="0.3"/>
    <row r="3665" s="430" customFormat="1" x14ac:dyDescent="0.3"/>
    <row r="3666" s="430" customFormat="1" x14ac:dyDescent="0.3"/>
    <row r="3667" s="430" customFormat="1" x14ac:dyDescent="0.3"/>
    <row r="3668" s="430" customFormat="1" x14ac:dyDescent="0.3"/>
    <row r="3669" s="430" customFormat="1" x14ac:dyDescent="0.3"/>
    <row r="3670" s="430" customFormat="1" x14ac:dyDescent="0.3"/>
    <row r="3671" s="430" customFormat="1" x14ac:dyDescent="0.3"/>
    <row r="3672" s="430" customFormat="1" x14ac:dyDescent="0.3"/>
    <row r="3673" s="430" customFormat="1" x14ac:dyDescent="0.3"/>
    <row r="3674" s="430" customFormat="1" x14ac:dyDescent="0.3"/>
    <row r="3675" s="430" customFormat="1" x14ac:dyDescent="0.3"/>
    <row r="3676" s="430" customFormat="1" x14ac:dyDescent="0.3"/>
    <row r="3677" s="430" customFormat="1" x14ac:dyDescent="0.3"/>
    <row r="3678" s="430" customFormat="1" x14ac:dyDescent="0.3"/>
    <row r="3679" s="430" customFormat="1" x14ac:dyDescent="0.3"/>
    <row r="3680" s="430" customFormat="1" x14ac:dyDescent="0.3"/>
    <row r="3681" s="430" customFormat="1" x14ac:dyDescent="0.3"/>
    <row r="3682" s="430" customFormat="1" x14ac:dyDescent="0.3"/>
    <row r="3683" s="430" customFormat="1" x14ac:dyDescent="0.3"/>
    <row r="3684" s="430" customFormat="1" x14ac:dyDescent="0.3"/>
    <row r="3685" s="430" customFormat="1" x14ac:dyDescent="0.3"/>
    <row r="3686" s="430" customFormat="1" x14ac:dyDescent="0.3"/>
    <row r="3687" s="430" customFormat="1" x14ac:dyDescent="0.3"/>
    <row r="3688" s="430" customFormat="1" x14ac:dyDescent="0.3"/>
    <row r="3689" s="430" customFormat="1" x14ac:dyDescent="0.3"/>
    <row r="3690" s="430" customFormat="1" x14ac:dyDescent="0.3"/>
    <row r="3691" s="430" customFormat="1" x14ac:dyDescent="0.3"/>
    <row r="3692" s="430" customFormat="1" x14ac:dyDescent="0.3"/>
    <row r="3693" s="430" customFormat="1" x14ac:dyDescent="0.3"/>
    <row r="3694" s="430" customFormat="1" x14ac:dyDescent="0.3"/>
    <row r="3695" s="430" customFormat="1" x14ac:dyDescent="0.3"/>
    <row r="3696" s="430" customFormat="1" x14ac:dyDescent="0.3"/>
    <row r="3697" s="430" customFormat="1" x14ac:dyDescent="0.3"/>
    <row r="3698" s="430" customFormat="1" x14ac:dyDescent="0.3"/>
    <row r="3699" s="430" customFormat="1" x14ac:dyDescent="0.3"/>
    <row r="3700" s="430" customFormat="1" x14ac:dyDescent="0.3"/>
    <row r="3701" s="430" customFormat="1" x14ac:dyDescent="0.3"/>
    <row r="3702" s="430" customFormat="1" x14ac:dyDescent="0.3"/>
    <row r="3703" s="430" customFormat="1" x14ac:dyDescent="0.3"/>
    <row r="3704" s="430" customFormat="1" x14ac:dyDescent="0.3"/>
    <row r="3705" s="430" customFormat="1" x14ac:dyDescent="0.3"/>
    <row r="3706" s="430" customFormat="1" x14ac:dyDescent="0.3"/>
    <row r="3707" s="430" customFormat="1" x14ac:dyDescent="0.3"/>
    <row r="3708" s="430" customFormat="1" x14ac:dyDescent="0.3"/>
    <row r="3709" s="430" customFormat="1" x14ac:dyDescent="0.3"/>
    <row r="3710" s="430" customFormat="1" x14ac:dyDescent="0.3"/>
    <row r="3711" s="430" customFormat="1" x14ac:dyDescent="0.3"/>
    <row r="3712" s="430" customFormat="1" x14ac:dyDescent="0.3"/>
    <row r="3713" s="430" customFormat="1" x14ac:dyDescent="0.3"/>
    <row r="3714" s="430" customFormat="1" x14ac:dyDescent="0.3"/>
    <row r="3715" s="430" customFormat="1" x14ac:dyDescent="0.3"/>
    <row r="3716" s="430" customFormat="1" x14ac:dyDescent="0.3"/>
    <row r="3717" s="430" customFormat="1" x14ac:dyDescent="0.3"/>
    <row r="3718" s="430" customFormat="1" x14ac:dyDescent="0.3"/>
    <row r="3719" s="430" customFormat="1" x14ac:dyDescent="0.3"/>
    <row r="3720" s="430" customFormat="1" x14ac:dyDescent="0.3"/>
    <row r="3721" s="430" customFormat="1" x14ac:dyDescent="0.3"/>
    <row r="3722" s="430" customFormat="1" x14ac:dyDescent="0.3"/>
    <row r="3723" s="430" customFormat="1" x14ac:dyDescent="0.3"/>
    <row r="3724" s="430" customFormat="1" x14ac:dyDescent="0.3"/>
    <row r="3725" s="430" customFormat="1" x14ac:dyDescent="0.3"/>
    <row r="3726" s="430" customFormat="1" x14ac:dyDescent="0.3"/>
    <row r="3727" s="430" customFormat="1" x14ac:dyDescent="0.3"/>
    <row r="3728" s="430" customFormat="1" x14ac:dyDescent="0.3"/>
    <row r="3729" s="430" customFormat="1" x14ac:dyDescent="0.3"/>
    <row r="3730" s="430" customFormat="1" x14ac:dyDescent="0.3"/>
    <row r="3731" s="430" customFormat="1" x14ac:dyDescent="0.3"/>
    <row r="3732" s="430" customFormat="1" x14ac:dyDescent="0.3"/>
    <row r="3733" s="430" customFormat="1" x14ac:dyDescent="0.3"/>
    <row r="3734" s="430" customFormat="1" x14ac:dyDescent="0.3"/>
    <row r="3735" s="430" customFormat="1" x14ac:dyDescent="0.3"/>
    <row r="3736" s="430" customFormat="1" x14ac:dyDescent="0.3"/>
    <row r="3737" s="430" customFormat="1" x14ac:dyDescent="0.3"/>
    <row r="3738" s="430" customFormat="1" x14ac:dyDescent="0.3"/>
    <row r="3739" s="430" customFormat="1" x14ac:dyDescent="0.3"/>
    <row r="3740" s="430" customFormat="1" x14ac:dyDescent="0.3"/>
    <row r="3741" s="430" customFormat="1" x14ac:dyDescent="0.3"/>
    <row r="3742" s="430" customFormat="1" x14ac:dyDescent="0.3"/>
    <row r="3743" s="430" customFormat="1" x14ac:dyDescent="0.3"/>
    <row r="3744" s="430" customFormat="1" x14ac:dyDescent="0.3"/>
    <row r="3745" s="430" customFormat="1" x14ac:dyDescent="0.3"/>
    <row r="3746" s="430" customFormat="1" x14ac:dyDescent="0.3"/>
    <row r="3747" s="430" customFormat="1" x14ac:dyDescent="0.3"/>
    <row r="3748" s="430" customFormat="1" x14ac:dyDescent="0.3"/>
    <row r="3749" s="430" customFormat="1" x14ac:dyDescent="0.3"/>
    <row r="3750" s="430" customFormat="1" x14ac:dyDescent="0.3"/>
    <row r="3751" s="430" customFormat="1" x14ac:dyDescent="0.3"/>
    <row r="3752" s="430" customFormat="1" x14ac:dyDescent="0.3"/>
    <row r="3753" s="430" customFormat="1" x14ac:dyDescent="0.3"/>
    <row r="3754" s="430" customFormat="1" x14ac:dyDescent="0.3"/>
    <row r="3755" s="430" customFormat="1" x14ac:dyDescent="0.3"/>
    <row r="3756" s="430" customFormat="1" x14ac:dyDescent="0.3"/>
    <row r="3757" s="430" customFormat="1" x14ac:dyDescent="0.3"/>
    <row r="3758" s="430" customFormat="1" x14ac:dyDescent="0.3"/>
    <row r="3759" s="430" customFormat="1" x14ac:dyDescent="0.3"/>
    <row r="3760" s="430" customFormat="1" x14ac:dyDescent="0.3"/>
    <row r="3761" s="430" customFormat="1" x14ac:dyDescent="0.3"/>
    <row r="3762" s="430" customFormat="1" x14ac:dyDescent="0.3"/>
    <row r="3763" s="430" customFormat="1" x14ac:dyDescent="0.3"/>
    <row r="3764" s="430" customFormat="1" x14ac:dyDescent="0.3"/>
    <row r="3765" s="430" customFormat="1" x14ac:dyDescent="0.3"/>
    <row r="3766" s="430" customFormat="1" x14ac:dyDescent="0.3"/>
    <row r="3767" s="430" customFormat="1" x14ac:dyDescent="0.3"/>
    <row r="3768" s="430" customFormat="1" x14ac:dyDescent="0.3"/>
    <row r="3769" s="430" customFormat="1" x14ac:dyDescent="0.3"/>
    <row r="3770" s="430" customFormat="1" x14ac:dyDescent="0.3"/>
    <row r="3771" s="430" customFormat="1" x14ac:dyDescent="0.3"/>
    <row r="3772" s="430" customFormat="1" x14ac:dyDescent="0.3"/>
    <row r="3773" s="430" customFormat="1" x14ac:dyDescent="0.3"/>
    <row r="3774" s="430" customFormat="1" x14ac:dyDescent="0.3"/>
    <row r="3775" s="430" customFormat="1" x14ac:dyDescent="0.3"/>
    <row r="3776" s="430" customFormat="1" x14ac:dyDescent="0.3"/>
    <row r="3777" s="430" customFormat="1" x14ac:dyDescent="0.3"/>
    <row r="3778" s="430" customFormat="1" x14ac:dyDescent="0.3"/>
    <row r="3779" s="430" customFormat="1" x14ac:dyDescent="0.3"/>
    <row r="3780" s="430" customFormat="1" x14ac:dyDescent="0.3"/>
    <row r="3781" s="430" customFormat="1" x14ac:dyDescent="0.3"/>
    <row r="3782" s="430" customFormat="1" x14ac:dyDescent="0.3"/>
    <row r="3783" s="430" customFormat="1" x14ac:dyDescent="0.3"/>
    <row r="3784" s="430" customFormat="1" x14ac:dyDescent="0.3"/>
    <row r="3785" s="430" customFormat="1" x14ac:dyDescent="0.3"/>
    <row r="3786" s="430" customFormat="1" x14ac:dyDescent="0.3"/>
    <row r="3787" s="430" customFormat="1" x14ac:dyDescent="0.3"/>
    <row r="3788" s="430" customFormat="1" x14ac:dyDescent="0.3"/>
    <row r="3789" s="430" customFormat="1" x14ac:dyDescent="0.3"/>
    <row r="3790" s="430" customFormat="1" x14ac:dyDescent="0.3"/>
    <row r="3791" s="430" customFormat="1" x14ac:dyDescent="0.3"/>
    <row r="3792" s="430" customFormat="1" x14ac:dyDescent="0.3"/>
    <row r="3793" s="430" customFormat="1" x14ac:dyDescent="0.3"/>
    <row r="3794" s="430" customFormat="1" x14ac:dyDescent="0.3"/>
    <row r="3795" s="430" customFormat="1" x14ac:dyDescent="0.3"/>
    <row r="3796" s="430" customFormat="1" x14ac:dyDescent="0.3"/>
    <row r="3797" s="430" customFormat="1" x14ac:dyDescent="0.3"/>
    <row r="3798" s="430" customFormat="1" x14ac:dyDescent="0.3"/>
    <row r="3799" s="430" customFormat="1" x14ac:dyDescent="0.3"/>
    <row r="3800" s="430" customFormat="1" x14ac:dyDescent="0.3"/>
    <row r="3801" s="430" customFormat="1" x14ac:dyDescent="0.3"/>
    <row r="3802" s="430" customFormat="1" x14ac:dyDescent="0.3"/>
    <row r="3803" s="430" customFormat="1" x14ac:dyDescent="0.3"/>
    <row r="3804" s="430" customFormat="1" x14ac:dyDescent="0.3"/>
    <row r="3805" s="430" customFormat="1" x14ac:dyDescent="0.3"/>
    <row r="3806" s="430" customFormat="1" x14ac:dyDescent="0.3"/>
    <row r="3807" s="430" customFormat="1" x14ac:dyDescent="0.3"/>
    <row r="3808" s="430" customFormat="1" x14ac:dyDescent="0.3"/>
    <row r="3809" s="430" customFormat="1" x14ac:dyDescent="0.3"/>
    <row r="3810" s="430" customFormat="1" x14ac:dyDescent="0.3"/>
    <row r="3811" s="430" customFormat="1" x14ac:dyDescent="0.3"/>
    <row r="3812" s="430" customFormat="1" x14ac:dyDescent="0.3"/>
    <row r="3813" s="430" customFormat="1" x14ac:dyDescent="0.3"/>
    <row r="3814" s="430" customFormat="1" x14ac:dyDescent="0.3"/>
    <row r="3815" s="430" customFormat="1" x14ac:dyDescent="0.3"/>
    <row r="3816" s="430" customFormat="1" x14ac:dyDescent="0.3"/>
    <row r="3817" s="430" customFormat="1" x14ac:dyDescent="0.3"/>
    <row r="3818" s="430" customFormat="1" x14ac:dyDescent="0.3"/>
    <row r="3819" s="430" customFormat="1" x14ac:dyDescent="0.3"/>
    <row r="3820" s="430" customFormat="1" x14ac:dyDescent="0.3"/>
    <row r="3821" s="430" customFormat="1" x14ac:dyDescent="0.3"/>
    <row r="3822" s="430" customFormat="1" x14ac:dyDescent="0.3"/>
    <row r="3823" s="430" customFormat="1" x14ac:dyDescent="0.3"/>
    <row r="3824" s="430" customFormat="1" x14ac:dyDescent="0.3"/>
    <row r="3825" s="430" customFormat="1" x14ac:dyDescent="0.3"/>
    <row r="3826" s="430" customFormat="1" x14ac:dyDescent="0.3"/>
    <row r="3827" s="430" customFormat="1" x14ac:dyDescent="0.3"/>
    <row r="3828" s="430" customFormat="1" x14ac:dyDescent="0.3"/>
    <row r="3829" s="430" customFormat="1" x14ac:dyDescent="0.3"/>
    <row r="3830" s="430" customFormat="1" x14ac:dyDescent="0.3"/>
    <row r="3831" s="430" customFormat="1" x14ac:dyDescent="0.3"/>
    <row r="3832" s="430" customFormat="1" x14ac:dyDescent="0.3"/>
    <row r="3833" s="430" customFormat="1" x14ac:dyDescent="0.3"/>
    <row r="3834" s="430" customFormat="1" x14ac:dyDescent="0.3"/>
    <row r="3835" s="430" customFormat="1" x14ac:dyDescent="0.3"/>
    <row r="3836" s="430" customFormat="1" x14ac:dyDescent="0.3"/>
    <row r="3837" s="430" customFormat="1" x14ac:dyDescent="0.3"/>
    <row r="3838" s="430" customFormat="1" x14ac:dyDescent="0.3"/>
    <row r="3839" s="430" customFormat="1" x14ac:dyDescent="0.3"/>
    <row r="3840" s="430" customFormat="1" x14ac:dyDescent="0.3"/>
    <row r="3841" s="430" customFormat="1" x14ac:dyDescent="0.3"/>
    <row r="3842" s="430" customFormat="1" x14ac:dyDescent="0.3"/>
    <row r="3843" s="430" customFormat="1" x14ac:dyDescent="0.3"/>
    <row r="3844" s="430" customFormat="1" x14ac:dyDescent="0.3"/>
    <row r="3845" s="430" customFormat="1" x14ac:dyDescent="0.3"/>
    <row r="3846" s="430" customFormat="1" x14ac:dyDescent="0.3"/>
    <row r="3847" s="430" customFormat="1" x14ac:dyDescent="0.3"/>
    <row r="3848" s="430" customFormat="1" x14ac:dyDescent="0.3"/>
    <row r="3849" s="430" customFormat="1" x14ac:dyDescent="0.3"/>
    <row r="3850" s="430" customFormat="1" x14ac:dyDescent="0.3"/>
    <row r="3851" s="430" customFormat="1" x14ac:dyDescent="0.3"/>
    <row r="3852" s="430" customFormat="1" x14ac:dyDescent="0.3"/>
    <row r="3853" s="430" customFormat="1" x14ac:dyDescent="0.3"/>
    <row r="3854" s="430" customFormat="1" x14ac:dyDescent="0.3"/>
    <row r="3855" s="430" customFormat="1" x14ac:dyDescent="0.3"/>
    <row r="3856" s="430" customFormat="1" x14ac:dyDescent="0.3"/>
    <row r="3857" s="430" customFormat="1" x14ac:dyDescent="0.3"/>
    <row r="3858" s="430" customFormat="1" x14ac:dyDescent="0.3"/>
    <row r="3859" s="430" customFormat="1" x14ac:dyDescent="0.3"/>
    <row r="3860" s="430" customFormat="1" x14ac:dyDescent="0.3"/>
    <row r="3861" s="430" customFormat="1" x14ac:dyDescent="0.3"/>
    <row r="3862" s="430" customFormat="1" x14ac:dyDescent="0.3"/>
    <row r="3863" s="430" customFormat="1" x14ac:dyDescent="0.3"/>
    <row r="3864" s="430" customFormat="1" x14ac:dyDescent="0.3"/>
    <row r="3865" s="430" customFormat="1" x14ac:dyDescent="0.3"/>
    <row r="3866" s="430" customFormat="1" x14ac:dyDescent="0.3"/>
    <row r="3867" s="430" customFormat="1" x14ac:dyDescent="0.3"/>
    <row r="3868" s="430" customFormat="1" x14ac:dyDescent="0.3"/>
    <row r="3869" s="430" customFormat="1" x14ac:dyDescent="0.3"/>
    <row r="3870" s="430" customFormat="1" x14ac:dyDescent="0.3"/>
    <row r="3871" s="430" customFormat="1" x14ac:dyDescent="0.3"/>
    <row r="3872" s="430" customFormat="1" x14ac:dyDescent="0.3"/>
    <row r="3873" s="430" customFormat="1" x14ac:dyDescent="0.3"/>
    <row r="3874" s="430" customFormat="1" x14ac:dyDescent="0.3"/>
    <row r="3875" s="430" customFormat="1" x14ac:dyDescent="0.3"/>
    <row r="3876" s="430" customFormat="1" x14ac:dyDescent="0.3"/>
    <row r="3877" s="430" customFormat="1" x14ac:dyDescent="0.3"/>
    <row r="3878" s="430" customFormat="1" x14ac:dyDescent="0.3"/>
    <row r="3879" s="430" customFormat="1" x14ac:dyDescent="0.3"/>
    <row r="3880" s="430" customFormat="1" x14ac:dyDescent="0.3"/>
    <row r="3881" s="430" customFormat="1" x14ac:dyDescent="0.3"/>
    <row r="3882" s="430" customFormat="1" x14ac:dyDescent="0.3"/>
    <row r="3883" s="430" customFormat="1" x14ac:dyDescent="0.3"/>
    <row r="3884" s="430" customFormat="1" x14ac:dyDescent="0.3"/>
    <row r="3885" s="430" customFormat="1" x14ac:dyDescent="0.3"/>
    <row r="3886" s="430" customFormat="1" x14ac:dyDescent="0.3"/>
    <row r="3887" s="430" customFormat="1" x14ac:dyDescent="0.3"/>
    <row r="3888" s="430" customFormat="1" x14ac:dyDescent="0.3"/>
    <row r="3889" s="430" customFormat="1" x14ac:dyDescent="0.3"/>
    <row r="3890" s="430" customFormat="1" x14ac:dyDescent="0.3"/>
    <row r="3891" s="430" customFormat="1" x14ac:dyDescent="0.3"/>
    <row r="3892" s="430" customFormat="1" x14ac:dyDescent="0.3"/>
    <row r="3893" s="430" customFormat="1" x14ac:dyDescent="0.3"/>
    <row r="3894" s="430" customFormat="1" x14ac:dyDescent="0.3"/>
    <row r="3895" s="430" customFormat="1" x14ac:dyDescent="0.3"/>
    <row r="3896" s="430" customFormat="1" x14ac:dyDescent="0.3"/>
    <row r="3897" s="430" customFormat="1" x14ac:dyDescent="0.3"/>
    <row r="3898" s="430" customFormat="1" x14ac:dyDescent="0.3"/>
    <row r="3899" s="430" customFormat="1" x14ac:dyDescent="0.3"/>
    <row r="3900" s="430" customFormat="1" x14ac:dyDescent="0.3"/>
    <row r="3901" s="430" customFormat="1" x14ac:dyDescent="0.3"/>
    <row r="3902" s="430" customFormat="1" x14ac:dyDescent="0.3"/>
    <row r="3903" s="430" customFormat="1" x14ac:dyDescent="0.3"/>
    <row r="3904" s="430" customFormat="1" x14ac:dyDescent="0.3"/>
    <row r="3905" s="430" customFormat="1" x14ac:dyDescent="0.3"/>
    <row r="3906" s="430" customFormat="1" x14ac:dyDescent="0.3"/>
    <row r="3907" s="430" customFormat="1" x14ac:dyDescent="0.3"/>
    <row r="3908" s="430" customFormat="1" x14ac:dyDescent="0.3"/>
    <row r="3909" s="430" customFormat="1" x14ac:dyDescent="0.3"/>
    <row r="3910" s="430" customFormat="1" x14ac:dyDescent="0.3"/>
    <row r="3911" s="430" customFormat="1" x14ac:dyDescent="0.3"/>
    <row r="3912" s="430" customFormat="1" x14ac:dyDescent="0.3"/>
    <row r="3913" s="430" customFormat="1" x14ac:dyDescent="0.3"/>
    <row r="3914" s="430" customFormat="1" x14ac:dyDescent="0.3"/>
    <row r="3915" s="430" customFormat="1" x14ac:dyDescent="0.3"/>
    <row r="3916" s="430" customFormat="1" x14ac:dyDescent="0.3"/>
    <row r="3917" s="430" customFormat="1" x14ac:dyDescent="0.3"/>
    <row r="3918" s="430" customFormat="1" x14ac:dyDescent="0.3"/>
    <row r="3919" s="430" customFormat="1" x14ac:dyDescent="0.3"/>
    <row r="3920" s="430" customFormat="1" x14ac:dyDescent="0.3"/>
    <row r="3921" s="430" customFormat="1" x14ac:dyDescent="0.3"/>
    <row r="3922" s="430" customFormat="1" x14ac:dyDescent="0.3"/>
    <row r="3923" s="430" customFormat="1" x14ac:dyDescent="0.3"/>
    <row r="3924" s="430" customFormat="1" x14ac:dyDescent="0.3"/>
    <row r="3925" s="430" customFormat="1" x14ac:dyDescent="0.3"/>
    <row r="3926" s="430" customFormat="1" x14ac:dyDescent="0.3"/>
    <row r="3927" s="430" customFormat="1" x14ac:dyDescent="0.3"/>
    <row r="3928" s="430" customFormat="1" x14ac:dyDescent="0.3"/>
    <row r="3929" s="430" customFormat="1" x14ac:dyDescent="0.3"/>
    <row r="3930" s="430" customFormat="1" x14ac:dyDescent="0.3"/>
    <row r="3931" s="430" customFormat="1" x14ac:dyDescent="0.3"/>
    <row r="3932" s="430" customFormat="1" x14ac:dyDescent="0.3"/>
    <row r="3933" s="430" customFormat="1" x14ac:dyDescent="0.3"/>
    <row r="3934" s="430" customFormat="1" x14ac:dyDescent="0.3"/>
    <row r="3935" s="430" customFormat="1" x14ac:dyDescent="0.3"/>
    <row r="3936" s="430" customFormat="1" x14ac:dyDescent="0.3"/>
    <row r="3937" s="430" customFormat="1" x14ac:dyDescent="0.3"/>
    <row r="3938" s="430" customFormat="1" x14ac:dyDescent="0.3"/>
    <row r="3939" s="430" customFormat="1" x14ac:dyDescent="0.3"/>
    <row r="3940" s="430" customFormat="1" x14ac:dyDescent="0.3"/>
    <row r="3941" s="430" customFormat="1" x14ac:dyDescent="0.3"/>
    <row r="3942" s="430" customFormat="1" x14ac:dyDescent="0.3"/>
    <row r="3943" s="430" customFormat="1" x14ac:dyDescent="0.3"/>
    <row r="3944" s="430" customFormat="1" x14ac:dyDescent="0.3"/>
    <row r="3945" s="430" customFormat="1" x14ac:dyDescent="0.3"/>
    <row r="3946" s="430" customFormat="1" x14ac:dyDescent="0.3"/>
    <row r="3947" s="430" customFormat="1" x14ac:dyDescent="0.3"/>
    <row r="3948" s="430" customFormat="1" x14ac:dyDescent="0.3"/>
    <row r="3949" s="430" customFormat="1" x14ac:dyDescent="0.3"/>
    <row r="3950" s="430" customFormat="1" x14ac:dyDescent="0.3"/>
    <row r="3951" s="430" customFormat="1" x14ac:dyDescent="0.3"/>
    <row r="3952" s="430" customFormat="1" x14ac:dyDescent="0.3"/>
    <row r="3953" s="430" customFormat="1" x14ac:dyDescent="0.3"/>
    <row r="3954" s="430" customFormat="1" x14ac:dyDescent="0.3"/>
    <row r="3955" s="430" customFormat="1" x14ac:dyDescent="0.3"/>
    <row r="3956" s="430" customFormat="1" x14ac:dyDescent="0.3"/>
    <row r="3957" s="430" customFormat="1" x14ac:dyDescent="0.3"/>
    <row r="3958" s="430" customFormat="1" x14ac:dyDescent="0.3"/>
    <row r="3959" s="430" customFormat="1" x14ac:dyDescent="0.3"/>
    <row r="3960" s="430" customFormat="1" x14ac:dyDescent="0.3"/>
    <row r="3961" s="430" customFormat="1" x14ac:dyDescent="0.3"/>
    <row r="3962" s="430" customFormat="1" x14ac:dyDescent="0.3"/>
    <row r="3963" s="430" customFormat="1" x14ac:dyDescent="0.3"/>
    <row r="3964" s="430" customFormat="1" x14ac:dyDescent="0.3"/>
    <row r="3965" s="430" customFormat="1" x14ac:dyDescent="0.3"/>
    <row r="3966" s="430" customFormat="1" x14ac:dyDescent="0.3"/>
    <row r="3967" s="430" customFormat="1" x14ac:dyDescent="0.3"/>
    <row r="3968" s="430" customFormat="1" x14ac:dyDescent="0.3"/>
    <row r="3969" s="430" customFormat="1" x14ac:dyDescent="0.3"/>
    <row r="3970" s="430" customFormat="1" x14ac:dyDescent="0.3"/>
    <row r="3971" s="430" customFormat="1" x14ac:dyDescent="0.3"/>
    <row r="3972" s="430" customFormat="1" x14ac:dyDescent="0.3"/>
    <row r="3973" s="430" customFormat="1" x14ac:dyDescent="0.3"/>
    <row r="3974" s="430" customFormat="1" x14ac:dyDescent="0.3"/>
    <row r="3975" s="430" customFormat="1" x14ac:dyDescent="0.3"/>
    <row r="3976" s="430" customFormat="1" x14ac:dyDescent="0.3"/>
    <row r="3977" s="430" customFormat="1" x14ac:dyDescent="0.3"/>
    <row r="3978" s="430" customFormat="1" x14ac:dyDescent="0.3"/>
    <row r="3979" s="430" customFormat="1" x14ac:dyDescent="0.3"/>
    <row r="3980" s="430" customFormat="1" x14ac:dyDescent="0.3"/>
    <row r="3981" s="430" customFormat="1" x14ac:dyDescent="0.3"/>
    <row r="3982" s="430" customFormat="1" x14ac:dyDescent="0.3"/>
    <row r="3983" s="430" customFormat="1" x14ac:dyDescent="0.3"/>
    <row r="3984" s="430" customFormat="1" x14ac:dyDescent="0.3"/>
    <row r="3985" s="430" customFormat="1" x14ac:dyDescent="0.3"/>
    <row r="3986" s="430" customFormat="1" x14ac:dyDescent="0.3"/>
    <row r="3987" s="430" customFormat="1" x14ac:dyDescent="0.3"/>
    <row r="3988" s="430" customFormat="1" x14ac:dyDescent="0.3"/>
    <row r="3989" s="430" customFormat="1" x14ac:dyDescent="0.3"/>
    <row r="3990" s="430" customFormat="1" x14ac:dyDescent="0.3"/>
    <row r="3991" s="430" customFormat="1" x14ac:dyDescent="0.3"/>
    <row r="3992" s="430" customFormat="1" x14ac:dyDescent="0.3"/>
    <row r="3993" s="430" customFormat="1" x14ac:dyDescent="0.3"/>
    <row r="3994" s="430" customFormat="1" x14ac:dyDescent="0.3"/>
    <row r="3995" s="430" customFormat="1" x14ac:dyDescent="0.3"/>
    <row r="3996" s="430" customFormat="1" x14ac:dyDescent="0.3"/>
    <row r="3997" s="430" customFormat="1" x14ac:dyDescent="0.3"/>
    <row r="3998" s="430" customFormat="1" x14ac:dyDescent="0.3"/>
    <row r="3999" s="430" customFormat="1" x14ac:dyDescent="0.3"/>
    <row r="4000" s="430" customFormat="1" x14ac:dyDescent="0.3"/>
    <row r="4001" s="430" customFormat="1" x14ac:dyDescent="0.3"/>
    <row r="4002" s="430" customFormat="1" x14ac:dyDescent="0.3"/>
    <row r="4003" s="430" customFormat="1" x14ac:dyDescent="0.3"/>
    <row r="4004" s="430" customFormat="1" x14ac:dyDescent="0.3"/>
    <row r="4005" s="430" customFormat="1" x14ac:dyDescent="0.3"/>
    <row r="4006" s="430" customFormat="1" x14ac:dyDescent="0.3"/>
    <row r="4007" s="430" customFormat="1" x14ac:dyDescent="0.3"/>
    <row r="4008" s="430" customFormat="1" x14ac:dyDescent="0.3"/>
    <row r="4009" s="430" customFormat="1" x14ac:dyDescent="0.3"/>
    <row r="4010" s="430" customFormat="1" x14ac:dyDescent="0.3"/>
    <row r="4011" s="430" customFormat="1" x14ac:dyDescent="0.3"/>
    <row r="4012" s="430" customFormat="1" x14ac:dyDescent="0.3"/>
    <row r="4013" s="430" customFormat="1" x14ac:dyDescent="0.3"/>
    <row r="4014" s="430" customFormat="1" x14ac:dyDescent="0.3"/>
    <row r="4015" s="430" customFormat="1" x14ac:dyDescent="0.3"/>
    <row r="4016" s="430" customFormat="1" x14ac:dyDescent="0.3"/>
    <row r="4017" s="430" customFormat="1" x14ac:dyDescent="0.3"/>
    <row r="4018" s="430" customFormat="1" x14ac:dyDescent="0.3"/>
    <row r="4019" s="430" customFormat="1" x14ac:dyDescent="0.3"/>
    <row r="4020" s="430" customFormat="1" x14ac:dyDescent="0.3"/>
    <row r="4021" s="430" customFormat="1" x14ac:dyDescent="0.3"/>
    <row r="4022" s="430" customFormat="1" x14ac:dyDescent="0.3"/>
    <row r="4023" s="430" customFormat="1" x14ac:dyDescent="0.3"/>
    <row r="4024" s="430" customFormat="1" x14ac:dyDescent="0.3"/>
    <row r="4025" s="430" customFormat="1" x14ac:dyDescent="0.3"/>
    <row r="4026" s="430" customFormat="1" x14ac:dyDescent="0.3"/>
    <row r="4027" s="430" customFormat="1" x14ac:dyDescent="0.3"/>
    <row r="4028" s="430" customFormat="1" x14ac:dyDescent="0.3"/>
    <row r="4029" s="430" customFormat="1" x14ac:dyDescent="0.3"/>
    <row r="4030" s="430" customFormat="1" x14ac:dyDescent="0.3"/>
    <row r="4031" s="430" customFormat="1" x14ac:dyDescent="0.3"/>
    <row r="4032" s="430" customFormat="1" x14ac:dyDescent="0.3"/>
    <row r="4033" s="430" customFormat="1" x14ac:dyDescent="0.3"/>
    <row r="4034" s="430" customFormat="1" x14ac:dyDescent="0.3"/>
    <row r="4035" s="430" customFormat="1" x14ac:dyDescent="0.3"/>
    <row r="4036" s="430" customFormat="1" x14ac:dyDescent="0.3"/>
    <row r="4037" s="430" customFormat="1" x14ac:dyDescent="0.3"/>
    <row r="4038" s="430" customFormat="1" x14ac:dyDescent="0.3"/>
    <row r="4039" s="430" customFormat="1" x14ac:dyDescent="0.3"/>
    <row r="4040" s="430" customFormat="1" x14ac:dyDescent="0.3"/>
    <row r="4041" s="430" customFormat="1" x14ac:dyDescent="0.3"/>
    <row r="4042" s="430" customFormat="1" x14ac:dyDescent="0.3"/>
    <row r="4043" s="430" customFormat="1" x14ac:dyDescent="0.3"/>
    <row r="4044" s="430" customFormat="1" x14ac:dyDescent="0.3"/>
    <row r="4045" s="430" customFormat="1" x14ac:dyDescent="0.3"/>
    <row r="4046" s="430" customFormat="1" x14ac:dyDescent="0.3"/>
    <row r="4047" s="430" customFormat="1" x14ac:dyDescent="0.3"/>
    <row r="4048" s="430" customFormat="1" x14ac:dyDescent="0.3"/>
    <row r="4049" s="430" customFormat="1" x14ac:dyDescent="0.3"/>
    <row r="4050" s="430" customFormat="1" x14ac:dyDescent="0.3"/>
    <row r="4051" s="430" customFormat="1" x14ac:dyDescent="0.3"/>
    <row r="4052" s="430" customFormat="1" x14ac:dyDescent="0.3"/>
    <row r="4053" s="430" customFormat="1" x14ac:dyDescent="0.3"/>
    <row r="4054" s="430" customFormat="1" x14ac:dyDescent="0.3"/>
    <row r="4055" s="430" customFormat="1" x14ac:dyDescent="0.3"/>
    <row r="4056" s="430" customFormat="1" x14ac:dyDescent="0.3"/>
    <row r="4057" s="430" customFormat="1" x14ac:dyDescent="0.3"/>
    <row r="4058" s="430" customFormat="1" x14ac:dyDescent="0.3"/>
    <row r="4059" s="430" customFormat="1" x14ac:dyDescent="0.3"/>
    <row r="4060" s="430" customFormat="1" x14ac:dyDescent="0.3"/>
    <row r="4061" s="430" customFormat="1" x14ac:dyDescent="0.3"/>
    <row r="4062" s="430" customFormat="1" x14ac:dyDescent="0.3"/>
    <row r="4063" s="430" customFormat="1" x14ac:dyDescent="0.3"/>
    <row r="4064" s="430" customFormat="1" x14ac:dyDescent="0.3"/>
    <row r="4065" s="430" customFormat="1" x14ac:dyDescent="0.3"/>
    <row r="4066" s="430" customFormat="1" x14ac:dyDescent="0.3"/>
    <row r="4067" s="430" customFormat="1" x14ac:dyDescent="0.3"/>
    <row r="4068" s="430" customFormat="1" x14ac:dyDescent="0.3"/>
    <row r="4069" s="430" customFormat="1" x14ac:dyDescent="0.3"/>
    <row r="4070" s="430" customFormat="1" x14ac:dyDescent="0.3"/>
    <row r="4071" s="430" customFormat="1" x14ac:dyDescent="0.3"/>
    <row r="4072" s="430" customFormat="1" x14ac:dyDescent="0.3"/>
    <row r="4073" s="430" customFormat="1" x14ac:dyDescent="0.3"/>
    <row r="4074" s="430" customFormat="1" x14ac:dyDescent="0.3"/>
    <row r="4075" s="430" customFormat="1" x14ac:dyDescent="0.3"/>
    <row r="4076" s="430" customFormat="1" x14ac:dyDescent="0.3"/>
    <row r="4077" s="430" customFormat="1" x14ac:dyDescent="0.3"/>
    <row r="4078" s="430" customFormat="1" x14ac:dyDescent="0.3"/>
    <row r="4079" s="430" customFormat="1" x14ac:dyDescent="0.3"/>
    <row r="4080" s="430" customFormat="1" x14ac:dyDescent="0.3"/>
    <row r="4081" s="430" customFormat="1" x14ac:dyDescent="0.3"/>
    <row r="4082" s="430" customFormat="1" x14ac:dyDescent="0.3"/>
    <row r="4083" s="430" customFormat="1" x14ac:dyDescent="0.3"/>
    <row r="4084" s="430" customFormat="1" x14ac:dyDescent="0.3"/>
    <row r="4085" s="430" customFormat="1" x14ac:dyDescent="0.3"/>
    <row r="4086" s="430" customFormat="1" x14ac:dyDescent="0.3"/>
    <row r="4087" s="430" customFormat="1" x14ac:dyDescent="0.3"/>
    <row r="4088" s="430" customFormat="1" x14ac:dyDescent="0.3"/>
    <row r="4089" s="430" customFormat="1" x14ac:dyDescent="0.3"/>
    <row r="4090" s="430" customFormat="1" x14ac:dyDescent="0.3"/>
    <row r="4091" s="430" customFormat="1" x14ac:dyDescent="0.3"/>
    <row r="4092" s="430" customFormat="1" x14ac:dyDescent="0.3"/>
    <row r="4093" s="430" customFormat="1" x14ac:dyDescent="0.3"/>
    <row r="4094" s="430" customFormat="1" x14ac:dyDescent="0.3"/>
    <row r="4095" s="430" customFormat="1" x14ac:dyDescent="0.3"/>
    <row r="4096" s="430" customFormat="1" x14ac:dyDescent="0.3"/>
    <row r="4097" s="430" customFormat="1" x14ac:dyDescent="0.3"/>
    <row r="4098" s="430" customFormat="1" x14ac:dyDescent="0.3"/>
    <row r="4099" s="430" customFormat="1" x14ac:dyDescent="0.3"/>
    <row r="4100" s="430" customFormat="1" x14ac:dyDescent="0.3"/>
    <row r="4101" s="430" customFormat="1" x14ac:dyDescent="0.3"/>
    <row r="4102" s="430" customFormat="1" x14ac:dyDescent="0.3"/>
    <row r="4103" s="430" customFormat="1" x14ac:dyDescent="0.3"/>
    <row r="4104" s="430" customFormat="1" x14ac:dyDescent="0.3"/>
    <row r="4105" s="430" customFormat="1" x14ac:dyDescent="0.3"/>
    <row r="4106" s="430" customFormat="1" x14ac:dyDescent="0.3"/>
    <row r="4107" s="430" customFormat="1" x14ac:dyDescent="0.3"/>
    <row r="4108" s="430" customFormat="1" x14ac:dyDescent="0.3"/>
  </sheetData>
  <mergeCells count="153">
    <mergeCell ref="A1:AC2"/>
    <mergeCell ref="E86:M86"/>
    <mergeCell ref="C88:M88"/>
    <mergeCell ref="E65:M65"/>
    <mergeCell ref="B58:AC58"/>
    <mergeCell ref="E67:M67"/>
    <mergeCell ref="E69:M69"/>
    <mergeCell ref="E82:M82"/>
    <mergeCell ref="E84:M84"/>
    <mergeCell ref="E71:M71"/>
    <mergeCell ref="C73:M73"/>
    <mergeCell ref="C60:AC61"/>
    <mergeCell ref="C62:AC62"/>
    <mergeCell ref="C63:AC63"/>
    <mergeCell ref="B77:AC77"/>
    <mergeCell ref="AA24:AB24"/>
    <mergeCell ref="Y24:Z24"/>
    <mergeCell ref="AA19:AB19"/>
    <mergeCell ref="Y19:Z19"/>
    <mergeCell ref="U19:V19"/>
    <mergeCell ref="AA22:AB22"/>
    <mergeCell ref="Y22:Z22"/>
    <mergeCell ref="U22:V22"/>
    <mergeCell ref="AA21:AB21"/>
    <mergeCell ref="Y21:Z21"/>
    <mergeCell ref="U21:V21"/>
    <mergeCell ref="U24:V24"/>
    <mergeCell ref="AA23:AB23"/>
    <mergeCell ref="Y23:Z23"/>
    <mergeCell ref="U23:V23"/>
    <mergeCell ref="AA20:AB20"/>
    <mergeCell ref="Y20:Z20"/>
    <mergeCell ref="U20:V20"/>
    <mergeCell ref="AA26:AB26"/>
    <mergeCell ref="Y26:Z26"/>
    <mergeCell ref="U26:V26"/>
    <mergeCell ref="AA25:AB25"/>
    <mergeCell ref="Y25:Z25"/>
    <mergeCell ref="U25:V25"/>
    <mergeCell ref="AA28:AB28"/>
    <mergeCell ref="Y28:Z28"/>
    <mergeCell ref="U28:V28"/>
    <mergeCell ref="AA27:AB27"/>
    <mergeCell ref="Y27:Z27"/>
    <mergeCell ref="U27:V27"/>
    <mergeCell ref="U31:V31"/>
    <mergeCell ref="AA30:AB30"/>
    <mergeCell ref="Y30:Z30"/>
    <mergeCell ref="U30:V30"/>
    <mergeCell ref="AA29:AB29"/>
    <mergeCell ref="Y29:Z29"/>
    <mergeCell ref="U29:V29"/>
    <mergeCell ref="E53:G53"/>
    <mergeCell ref="I53:J53"/>
    <mergeCell ref="K53:L53"/>
    <mergeCell ref="D41:AC46"/>
    <mergeCell ref="E48:G49"/>
    <mergeCell ref="I48:J49"/>
    <mergeCell ref="K48:L49"/>
    <mergeCell ref="E50:G50"/>
    <mergeCell ref="I50:J50"/>
    <mergeCell ref="K50:L50"/>
    <mergeCell ref="D34:AB34"/>
    <mergeCell ref="N36:N37"/>
    <mergeCell ref="O36:Q36"/>
    <mergeCell ref="E37:M37"/>
    <mergeCell ref="E38:M38"/>
    <mergeCell ref="E39:M39"/>
    <mergeCell ref="D32:I32"/>
    <mergeCell ref="E54:G54"/>
    <mergeCell ref="I54:J54"/>
    <mergeCell ref="K54:L54"/>
    <mergeCell ref="E51:G51"/>
    <mergeCell ref="I51:J51"/>
    <mergeCell ref="K51:L51"/>
    <mergeCell ref="E52:G52"/>
    <mergeCell ref="I52:J52"/>
    <mergeCell ref="K52:L52"/>
    <mergeCell ref="L32:M32"/>
    <mergeCell ref="Q32:R32"/>
    <mergeCell ref="D31:I31"/>
    <mergeCell ref="L31:M31"/>
    <mergeCell ref="Q31:R31"/>
    <mergeCell ref="D30:I30"/>
    <mergeCell ref="L30:M30"/>
    <mergeCell ref="Q30:R30"/>
    <mergeCell ref="D29:I29"/>
    <mergeCell ref="L29:M29"/>
    <mergeCell ref="Q29:R29"/>
    <mergeCell ref="D28:I28"/>
    <mergeCell ref="L28:M28"/>
    <mergeCell ref="Q28:R28"/>
    <mergeCell ref="D27:I27"/>
    <mergeCell ref="L27:M27"/>
    <mergeCell ref="Q27:R27"/>
    <mergeCell ref="D26:I26"/>
    <mergeCell ref="L26:M26"/>
    <mergeCell ref="Q26:R26"/>
    <mergeCell ref="D19:I19"/>
    <mergeCell ref="L19:M19"/>
    <mergeCell ref="Q19:R19"/>
    <mergeCell ref="D18:I18"/>
    <mergeCell ref="L18:M18"/>
    <mergeCell ref="D25:I25"/>
    <mergeCell ref="L25:M25"/>
    <mergeCell ref="Q25:R25"/>
    <mergeCell ref="D24:I24"/>
    <mergeCell ref="L24:M24"/>
    <mergeCell ref="Q24:R24"/>
    <mergeCell ref="D23:I23"/>
    <mergeCell ref="L23:M23"/>
    <mergeCell ref="Q23:R23"/>
    <mergeCell ref="Q22:R22"/>
    <mergeCell ref="D21:I21"/>
    <mergeCell ref="L21:M21"/>
    <mergeCell ref="Q21:R21"/>
    <mergeCell ref="D20:I20"/>
    <mergeCell ref="L20:M20"/>
    <mergeCell ref="Q20:R20"/>
    <mergeCell ref="AA32:AB32"/>
    <mergeCell ref="Y32:Z32"/>
    <mergeCell ref="U32:V32"/>
    <mergeCell ref="AA31:AB31"/>
    <mergeCell ref="Y31:Z31"/>
    <mergeCell ref="G8:J8"/>
    <mergeCell ref="B10:AC10"/>
    <mergeCell ref="B12:S12"/>
    <mergeCell ref="U12:AC12"/>
    <mergeCell ref="T8:AB8"/>
    <mergeCell ref="K8:Q8"/>
    <mergeCell ref="AC16:AC17"/>
    <mergeCell ref="L17:M17"/>
    <mergeCell ref="Y17:Z17"/>
    <mergeCell ref="AA17:AB17"/>
    <mergeCell ref="D16:I17"/>
    <mergeCell ref="J16:J17"/>
    <mergeCell ref="X16:X17"/>
    <mergeCell ref="Y16:AB16"/>
    <mergeCell ref="AA18:AB18"/>
    <mergeCell ref="Y18:Z18"/>
    <mergeCell ref="U18:V18"/>
    <mergeCell ref="D22:I22"/>
    <mergeCell ref="L22:M22"/>
    <mergeCell ref="K16:K17"/>
    <mergeCell ref="L16:M16"/>
    <mergeCell ref="Q18:R18"/>
    <mergeCell ref="W16:W17"/>
    <mergeCell ref="B4:AC4"/>
    <mergeCell ref="G6:J6"/>
    <mergeCell ref="T6:AB6"/>
    <mergeCell ref="K6:Q6"/>
    <mergeCell ref="O16:R17"/>
    <mergeCell ref="U16:V17"/>
  </mergeCells>
  <conditionalFormatting sqref="E51:J54">
    <cfRule type="expression" dxfId="13" priority="48" stopIfTrue="1">
      <formula>ISNUMBER(E51)</formula>
    </cfRule>
  </conditionalFormatting>
  <conditionalFormatting sqref="K51:L54">
    <cfRule type="expression" dxfId="12" priority="49" stopIfTrue="1">
      <formula>ISNUMBER(E51)</formula>
    </cfRule>
  </conditionalFormatting>
  <conditionalFormatting sqref="E79">
    <cfRule type="expression" priority="27" stopIfTrue="1">
      <formula>ISNUMBER($O$80)</formula>
    </cfRule>
  </conditionalFormatting>
  <conditionalFormatting sqref="B79">
    <cfRule type="expression" dxfId="11" priority="22" stopIfTrue="1">
      <formula>ISNUMBER($O$80)</formula>
    </cfRule>
  </conditionalFormatting>
  <conditionalFormatting sqref="B77:AC77">
    <cfRule type="expression" dxfId="10" priority="11" stopIfTrue="1">
      <formula>ISNUMBER($O$80)</formula>
    </cfRule>
  </conditionalFormatting>
  <conditionalFormatting sqref="O80 Q80:U80">
    <cfRule type="expression" dxfId="9" priority="10" stopIfTrue="1">
      <formula>ISNUMBER(O80)</formula>
    </cfRule>
  </conditionalFormatting>
  <conditionalFormatting sqref="O82 Q82:U82">
    <cfRule type="expression" dxfId="8" priority="9" stopIfTrue="1">
      <formula>ISNUMBER(O80)</formula>
    </cfRule>
  </conditionalFormatting>
  <conditionalFormatting sqref="O84 Q84:U84">
    <cfRule type="expression" dxfId="7" priority="8" stopIfTrue="1">
      <formula>ISNUMBER(O80)</formula>
    </cfRule>
  </conditionalFormatting>
  <conditionalFormatting sqref="Q86:U86 O86">
    <cfRule type="expression" dxfId="6" priority="7" stopIfTrue="1">
      <formula>ISNUMBER(O80)</formula>
    </cfRule>
  </conditionalFormatting>
  <conditionalFormatting sqref="O88 Q88:U88">
    <cfRule type="expression" dxfId="5" priority="6" stopIfTrue="1">
      <formula>ISNUMBER(O80)</formula>
    </cfRule>
  </conditionalFormatting>
  <conditionalFormatting sqref="E84:M84">
    <cfRule type="expression" dxfId="4" priority="5" stopIfTrue="1">
      <formula>ISNUMBER($O$80)</formula>
    </cfRule>
  </conditionalFormatting>
  <conditionalFormatting sqref="E86:M86">
    <cfRule type="expression" dxfId="3" priority="4" stopIfTrue="1">
      <formula>ISNUMBER($O$80)</formula>
    </cfRule>
  </conditionalFormatting>
  <conditionalFormatting sqref="C88:M88 C84 C86">
    <cfRule type="expression" dxfId="2" priority="3" stopIfTrue="1">
      <formula>ISNUMBER($O$80)</formula>
    </cfRule>
  </conditionalFormatting>
  <conditionalFormatting sqref="C82">
    <cfRule type="expression" dxfId="1" priority="2" stopIfTrue="1">
      <formula>ISNUMBER($O$80)</formula>
    </cfRule>
  </conditionalFormatting>
  <conditionalFormatting sqref="E82:M82">
    <cfRule type="expression" dxfId="0" priority="1" stopIfTrue="1">
      <formula>ISNUMBER($O$80)</formula>
    </cfRule>
  </conditionalFormatting>
  <dataValidations disablePrompts="1" count="1">
    <dataValidation type="whole" operator="greaterThanOrEqual" allowBlank="1" showInputMessage="1" showErrorMessage="1" error="La superficie mínima de plantación ha de ser de 1 ha" sqref="U9 U7 K7:L7 K9:L9" xr:uid="{00000000-0002-0000-0300-000000000000}">
      <formula1>1</formula1>
    </dataValidation>
  </dataValidations>
  <pageMargins left="0.70866141732283472" right="0.70866141732283472" top="0.74803149606299213" bottom="0.74803149606299213" header="0.31496062992125984" footer="0.31496062992125984"/>
  <pageSetup paperSize="9" scale="74"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8"/>
  <dimension ref="A1:AA270"/>
  <sheetViews>
    <sheetView showGridLines="0" showRowColHeaders="0" topLeftCell="A64" zoomScaleNormal="100" workbookViewId="0">
      <selection activeCell="C110" sqref="C110:C111"/>
    </sheetView>
  </sheetViews>
  <sheetFormatPr baseColWidth="10" defaultColWidth="11.42578125" defaultRowHeight="15.75" customHeight="1" x14ac:dyDescent="0.3"/>
  <cols>
    <col min="1" max="1" width="4" style="435" customWidth="1"/>
    <col min="2" max="2" width="4.28515625" style="435" customWidth="1"/>
    <col min="3" max="3" width="32" style="435" customWidth="1"/>
    <col min="4" max="8" width="6.28515625" style="435" customWidth="1"/>
    <col min="9" max="9" width="35.140625" style="435" customWidth="1"/>
    <col min="10" max="10" width="10.7109375" style="435" customWidth="1"/>
    <col min="11" max="13" width="11.42578125" style="435"/>
    <col min="14" max="14" width="9.5703125" style="435" customWidth="1"/>
    <col min="15" max="15" width="11.42578125" style="435"/>
    <col min="16" max="16" width="9.5703125" style="435" customWidth="1"/>
    <col min="17" max="17" width="1.85546875" style="435" customWidth="1"/>
    <col min="18" max="18" width="11.42578125" style="435"/>
    <col min="19" max="25" width="11.42578125" style="450" customWidth="1"/>
    <col min="26" max="27" width="11.42578125" style="450"/>
    <col min="28" max="16384" width="11.42578125" style="435"/>
  </cols>
  <sheetData>
    <row r="1" spans="1:27" s="429" customFormat="1" ht="17.25" customHeight="1" x14ac:dyDescent="0.3">
      <c r="A1" s="562" t="s">
        <v>607</v>
      </c>
      <c r="B1" s="562"/>
      <c r="C1" s="562"/>
      <c r="D1" s="562"/>
      <c r="E1" s="562"/>
      <c r="F1" s="562"/>
      <c r="G1" s="562"/>
      <c r="H1" s="562"/>
      <c r="I1" s="562"/>
      <c r="J1" s="562"/>
      <c r="K1" s="562"/>
      <c r="L1" s="562"/>
      <c r="M1" s="562"/>
      <c r="N1" s="562"/>
      <c r="O1" s="562"/>
      <c r="P1" s="562"/>
      <c r="Q1" s="562"/>
      <c r="S1" s="449"/>
      <c r="T1" s="449"/>
      <c r="U1" s="449"/>
      <c r="V1" s="449"/>
      <c r="W1" s="449"/>
      <c r="X1" s="449"/>
      <c r="Y1" s="449"/>
      <c r="Z1" s="449"/>
      <c r="AA1" s="449"/>
    </row>
    <row r="2" spans="1:27" s="429" customFormat="1" ht="30" customHeight="1" x14ac:dyDescent="0.3">
      <c r="A2" s="562"/>
      <c r="B2" s="562"/>
      <c r="C2" s="562"/>
      <c r="D2" s="562"/>
      <c r="E2" s="562"/>
      <c r="F2" s="562"/>
      <c r="G2" s="562"/>
      <c r="H2" s="562"/>
      <c r="I2" s="562"/>
      <c r="J2" s="562"/>
      <c r="K2" s="562"/>
      <c r="L2" s="562"/>
      <c r="M2" s="562"/>
      <c r="N2" s="562"/>
      <c r="O2" s="562"/>
      <c r="P2" s="562"/>
      <c r="Q2" s="562"/>
      <c r="S2" s="449"/>
      <c r="T2" s="449"/>
      <c r="U2" s="449"/>
      <c r="V2" s="449"/>
      <c r="W2" s="449"/>
      <c r="X2" s="449"/>
      <c r="Y2" s="449"/>
      <c r="Z2" s="449"/>
      <c r="AA2" s="449"/>
    </row>
    <row r="4" spans="1:27" ht="31.5" customHeight="1" x14ac:dyDescent="0.3">
      <c r="B4" s="778" t="s">
        <v>93</v>
      </c>
      <c r="C4" s="779"/>
      <c r="D4" s="774" t="s">
        <v>493</v>
      </c>
      <c r="E4" s="775"/>
      <c r="F4" s="775"/>
      <c r="G4" s="775"/>
      <c r="H4" s="776"/>
      <c r="I4" s="777" t="s">
        <v>75</v>
      </c>
    </row>
    <row r="5" spans="1:27" ht="15.75" customHeight="1" x14ac:dyDescent="0.35">
      <c r="B5" s="778"/>
      <c r="C5" s="778"/>
      <c r="D5" s="436" t="s">
        <v>318</v>
      </c>
      <c r="E5" s="437" t="s">
        <v>319</v>
      </c>
      <c r="F5" s="437" t="s">
        <v>320</v>
      </c>
      <c r="G5" s="437" t="s">
        <v>321</v>
      </c>
      <c r="H5" s="438" t="s">
        <v>322</v>
      </c>
      <c r="I5" s="777"/>
      <c r="S5" s="451" t="s">
        <v>93</v>
      </c>
      <c r="T5" s="451"/>
      <c r="U5" s="451" t="s">
        <v>608</v>
      </c>
      <c r="V5" s="451"/>
      <c r="W5" s="451"/>
      <c r="X5" s="451"/>
      <c r="Y5" s="451"/>
    </row>
    <row r="6" spans="1:27" ht="15.75" customHeight="1" x14ac:dyDescent="0.3">
      <c r="B6" s="772" t="s">
        <v>3</v>
      </c>
      <c r="C6" s="773"/>
      <c r="D6" s="452">
        <v>0.06</v>
      </c>
      <c r="E6" s="452">
        <v>0.08</v>
      </c>
      <c r="F6" s="452">
        <v>0.1</v>
      </c>
      <c r="G6" s="452">
        <v>0.11</v>
      </c>
      <c r="H6" s="452">
        <v>0.13</v>
      </c>
      <c r="I6" s="453" t="s">
        <v>404</v>
      </c>
      <c r="S6" s="451"/>
      <c r="T6" s="451"/>
      <c r="U6" s="451" t="s">
        <v>318</v>
      </c>
      <c r="V6" s="451" t="s">
        <v>319</v>
      </c>
      <c r="W6" s="451" t="s">
        <v>320</v>
      </c>
      <c r="X6" s="451" t="s">
        <v>321</v>
      </c>
      <c r="Y6" s="451" t="s">
        <v>322</v>
      </c>
    </row>
    <row r="7" spans="1:27" ht="15.75" customHeight="1" x14ac:dyDescent="0.3">
      <c r="B7" s="770" t="s">
        <v>167</v>
      </c>
      <c r="C7" s="771"/>
      <c r="D7" s="524">
        <v>0.22</v>
      </c>
      <c r="E7" s="524">
        <v>0.27</v>
      </c>
      <c r="F7" s="524">
        <v>0.33</v>
      </c>
      <c r="G7" s="524">
        <v>0.38</v>
      </c>
      <c r="H7" s="524">
        <v>0.44</v>
      </c>
      <c r="I7" s="525" t="s">
        <v>404</v>
      </c>
      <c r="S7" s="451" t="s">
        <v>3</v>
      </c>
      <c r="T7" s="451"/>
      <c r="U7" s="451">
        <v>6.3544816116135994E-2</v>
      </c>
      <c r="V7" s="451">
        <v>7.943102014517002E-2</v>
      </c>
      <c r="W7" s="451">
        <v>9.5317224174204004E-2</v>
      </c>
      <c r="X7" s="451">
        <v>0.111203428203238</v>
      </c>
      <c r="Y7" s="451">
        <v>0.12708963223227199</v>
      </c>
    </row>
    <row r="8" spans="1:27" ht="15.75" customHeight="1" x14ac:dyDescent="0.3">
      <c r="B8" s="770" t="s">
        <v>141</v>
      </c>
      <c r="C8" s="771"/>
      <c r="D8" s="524">
        <v>0.15</v>
      </c>
      <c r="E8" s="524">
        <v>0.19</v>
      </c>
      <c r="F8" s="524">
        <v>0.22</v>
      </c>
      <c r="G8" s="524">
        <v>0.26</v>
      </c>
      <c r="H8" s="524">
        <v>0.3</v>
      </c>
      <c r="I8" s="525" t="s">
        <v>405</v>
      </c>
      <c r="S8" s="451" t="s">
        <v>167</v>
      </c>
      <c r="T8" s="451"/>
      <c r="U8" s="451">
        <v>0.21939097084791426</v>
      </c>
      <c r="V8" s="451">
        <v>0.27423871355989282</v>
      </c>
      <c r="W8" s="451">
        <v>0.32908645627187133</v>
      </c>
      <c r="X8" s="451">
        <v>0.38393419898384989</v>
      </c>
      <c r="Y8" s="451">
        <v>0.43878194169582851</v>
      </c>
    </row>
    <row r="9" spans="1:27" ht="15.75" customHeight="1" x14ac:dyDescent="0.3">
      <c r="B9" s="772" t="s">
        <v>6</v>
      </c>
      <c r="C9" s="773"/>
      <c r="D9" s="524">
        <v>0.06</v>
      </c>
      <c r="E9" s="524">
        <v>0.08</v>
      </c>
      <c r="F9" s="524">
        <v>0.1</v>
      </c>
      <c r="G9" s="524">
        <v>0.11</v>
      </c>
      <c r="H9" s="524">
        <v>0.13</v>
      </c>
      <c r="I9" s="525" t="s">
        <v>405</v>
      </c>
      <c r="S9" s="451" t="s">
        <v>141</v>
      </c>
      <c r="T9" s="451"/>
      <c r="U9" s="451">
        <v>0.14975536130234138</v>
      </c>
      <c r="V9" s="451">
        <v>0.18719420162792669</v>
      </c>
      <c r="W9" s="451">
        <v>0.22463304195351205</v>
      </c>
      <c r="X9" s="451">
        <v>0.26207188227909739</v>
      </c>
      <c r="Y9" s="451">
        <v>0.29951072260468276</v>
      </c>
    </row>
    <row r="10" spans="1:27" ht="15.75" customHeight="1" x14ac:dyDescent="0.3">
      <c r="B10" s="770" t="s">
        <v>7</v>
      </c>
      <c r="C10" s="771"/>
      <c r="D10" s="524">
        <v>0.04</v>
      </c>
      <c r="E10" s="524">
        <v>0.11</v>
      </c>
      <c r="F10" s="524">
        <v>0.21</v>
      </c>
      <c r="G10" s="524">
        <v>0.35</v>
      </c>
      <c r="H10" s="524">
        <v>0.4</v>
      </c>
      <c r="I10" s="525" t="s">
        <v>333</v>
      </c>
      <c r="S10" s="451" t="s">
        <v>6</v>
      </c>
      <c r="T10" s="451"/>
      <c r="U10" s="451">
        <v>6.4771159639729098E-2</v>
      </c>
      <c r="V10" s="451">
        <v>8.0963949549661379E-2</v>
      </c>
      <c r="W10" s="451">
        <v>9.7156739459593647E-2</v>
      </c>
      <c r="X10" s="451">
        <v>0.11334952936952593</v>
      </c>
      <c r="Y10" s="451">
        <v>0.1295423192794582</v>
      </c>
    </row>
    <row r="11" spans="1:27" ht="15.75" customHeight="1" x14ac:dyDescent="0.3">
      <c r="B11" s="770" t="s">
        <v>8</v>
      </c>
      <c r="C11" s="771"/>
      <c r="D11" s="524">
        <v>0.06</v>
      </c>
      <c r="E11" s="524">
        <v>7.0000000000000007E-2</v>
      </c>
      <c r="F11" s="524">
        <v>0.09</v>
      </c>
      <c r="G11" s="524">
        <v>0.1</v>
      </c>
      <c r="H11" s="524">
        <v>0.12</v>
      </c>
      <c r="I11" s="525" t="s">
        <v>405</v>
      </c>
      <c r="S11" s="451" t="s">
        <v>7</v>
      </c>
      <c r="T11" s="451"/>
      <c r="U11" s="451">
        <v>4.2905184381875593E-2</v>
      </c>
      <c r="V11" s="451">
        <v>0.11203292161465764</v>
      </c>
      <c r="W11" s="451">
        <v>0.20516585167863827</v>
      </c>
      <c r="X11" s="451">
        <v>0.34790001540782683</v>
      </c>
      <c r="Y11" s="451">
        <v>0.39760001760894487</v>
      </c>
    </row>
    <row r="12" spans="1:27" ht="15.75" customHeight="1" x14ac:dyDescent="0.3">
      <c r="B12" s="772" t="s">
        <v>2</v>
      </c>
      <c r="C12" s="773"/>
      <c r="D12" s="524">
        <v>0.06</v>
      </c>
      <c r="E12" s="524">
        <v>0.08</v>
      </c>
      <c r="F12" s="524">
        <v>0.09</v>
      </c>
      <c r="G12" s="524">
        <v>0.11</v>
      </c>
      <c r="H12" s="524">
        <v>0.12</v>
      </c>
      <c r="I12" s="525" t="s">
        <v>405</v>
      </c>
      <c r="S12" s="451" t="s">
        <v>8</v>
      </c>
      <c r="T12" s="451"/>
      <c r="U12" s="451">
        <v>5.9604517312365456E-2</v>
      </c>
      <c r="V12" s="451">
        <v>7.4505646640456821E-2</v>
      </c>
      <c r="W12" s="451">
        <v>8.9406775968548208E-2</v>
      </c>
      <c r="X12" s="451">
        <v>0.10430790529663955</v>
      </c>
      <c r="Y12" s="451">
        <v>0.11920903462473091</v>
      </c>
    </row>
    <row r="13" spans="1:27" ht="15.75" customHeight="1" x14ac:dyDescent="0.3">
      <c r="B13" s="772" t="s">
        <v>640</v>
      </c>
      <c r="C13" s="773"/>
      <c r="D13" s="524">
        <v>0.23679799827557932</v>
      </c>
      <c r="E13" s="524">
        <v>0.32389891952979127</v>
      </c>
      <c r="F13" s="524">
        <v>0.40204354808515036</v>
      </c>
      <c r="G13" s="524">
        <v>0.47018400063806043</v>
      </c>
      <c r="H13" s="524">
        <v>0.52891384829808252</v>
      </c>
      <c r="I13" s="525" t="s">
        <v>652</v>
      </c>
      <c r="S13" s="451"/>
      <c r="T13" s="451"/>
      <c r="U13" s="451"/>
      <c r="V13" s="451"/>
      <c r="W13" s="451"/>
      <c r="X13" s="451"/>
      <c r="Y13" s="451"/>
    </row>
    <row r="14" spans="1:27" ht="15.75" customHeight="1" x14ac:dyDescent="0.3">
      <c r="B14" s="770" t="s">
        <v>9</v>
      </c>
      <c r="C14" s="771"/>
      <c r="D14" s="524">
        <v>0.06</v>
      </c>
      <c r="E14" s="524">
        <v>0.08</v>
      </c>
      <c r="F14" s="524">
        <v>0.09</v>
      </c>
      <c r="G14" s="524">
        <v>0.11</v>
      </c>
      <c r="H14" s="524">
        <v>0.12</v>
      </c>
      <c r="I14" s="525" t="s">
        <v>333</v>
      </c>
      <c r="S14" s="451" t="s">
        <v>2</v>
      </c>
      <c r="T14" s="451"/>
      <c r="U14" s="451">
        <v>6.2278228970051946E-2</v>
      </c>
      <c r="V14" s="451">
        <v>7.784778621256494E-2</v>
      </c>
      <c r="W14" s="451">
        <v>9.3417343455077906E-2</v>
      </c>
      <c r="X14" s="451">
        <v>0.1089869006975909</v>
      </c>
      <c r="Y14" s="451">
        <v>0.12455645794010389</v>
      </c>
    </row>
    <row r="15" spans="1:27" ht="15.75" customHeight="1" x14ac:dyDescent="0.3">
      <c r="B15" s="770" t="s">
        <v>10</v>
      </c>
      <c r="C15" s="771"/>
      <c r="D15" s="524">
        <v>0.12</v>
      </c>
      <c r="E15" s="524">
        <v>0.16</v>
      </c>
      <c r="F15" s="524">
        <v>0.19</v>
      </c>
      <c r="G15" s="524">
        <v>0.22</v>
      </c>
      <c r="H15" s="524">
        <v>0.25</v>
      </c>
      <c r="I15" s="525" t="s">
        <v>405</v>
      </c>
      <c r="S15" s="451"/>
      <c r="T15" s="451"/>
      <c r="U15" s="451"/>
      <c r="V15" s="451"/>
      <c r="W15" s="451"/>
      <c r="X15" s="451"/>
      <c r="Y15" s="451"/>
    </row>
    <row r="16" spans="1:27" ht="15.75" customHeight="1" x14ac:dyDescent="0.3">
      <c r="B16" s="772" t="s">
        <v>508</v>
      </c>
      <c r="C16" s="773"/>
      <c r="D16" s="524">
        <v>0.69008475984374262</v>
      </c>
      <c r="E16" s="524">
        <v>0.99550846887644073</v>
      </c>
      <c r="F16" s="524">
        <v>1.3195063122807065</v>
      </c>
      <c r="G16" s="524">
        <v>1.6554610230970124</v>
      </c>
      <c r="H16" s="524">
        <v>1.9996598817826559</v>
      </c>
      <c r="I16" s="525" t="s">
        <v>653</v>
      </c>
      <c r="S16" s="451" t="s">
        <v>9</v>
      </c>
      <c r="T16" s="451"/>
      <c r="U16" s="451">
        <v>6.2278228970051946E-2</v>
      </c>
      <c r="V16" s="451">
        <v>7.784778621256494E-2</v>
      </c>
      <c r="W16" s="451">
        <v>9.3417343455077906E-2</v>
      </c>
      <c r="X16" s="451">
        <v>0.1089869006975909</v>
      </c>
      <c r="Y16" s="451">
        <v>0.12455645794010389</v>
      </c>
    </row>
    <row r="17" spans="2:25" ht="15.75" customHeight="1" x14ac:dyDescent="0.3">
      <c r="B17" s="770" t="s">
        <v>157</v>
      </c>
      <c r="C17" s="771"/>
      <c r="D17" s="524">
        <v>0.06</v>
      </c>
      <c r="E17" s="524">
        <v>0.08</v>
      </c>
      <c r="F17" s="524">
        <v>0.09</v>
      </c>
      <c r="G17" s="524">
        <v>0.11</v>
      </c>
      <c r="H17" s="524">
        <v>0.12</v>
      </c>
      <c r="I17" s="525" t="s">
        <v>405</v>
      </c>
      <c r="S17" s="451" t="s">
        <v>10</v>
      </c>
      <c r="T17" s="451"/>
      <c r="U17" s="451">
        <v>0.1241181539518298</v>
      </c>
      <c r="V17" s="451">
        <v>0.15514769243978724</v>
      </c>
      <c r="W17" s="451">
        <v>0.18617723092774471</v>
      </c>
      <c r="X17" s="451">
        <v>0.21720676941570213</v>
      </c>
      <c r="Y17" s="451">
        <v>0.24823630790365961</v>
      </c>
    </row>
    <row r="18" spans="2:25" ht="15.75" customHeight="1" x14ac:dyDescent="0.3">
      <c r="B18" s="770" t="s">
        <v>11</v>
      </c>
      <c r="C18" s="771"/>
      <c r="D18" s="524">
        <v>0.35</v>
      </c>
      <c r="E18" s="524">
        <v>0.63</v>
      </c>
      <c r="F18" s="524">
        <v>1.3</v>
      </c>
      <c r="G18" s="524">
        <v>2.88</v>
      </c>
      <c r="H18" s="524">
        <v>3.4</v>
      </c>
      <c r="I18" s="525" t="s">
        <v>333</v>
      </c>
      <c r="S18" s="451" t="s">
        <v>157</v>
      </c>
      <c r="T18" s="451"/>
      <c r="U18" s="451">
        <v>6.1960458449175387E-2</v>
      </c>
      <c r="V18" s="451">
        <v>7.7450573061469213E-2</v>
      </c>
      <c r="W18" s="451">
        <v>9.2940687673763067E-2</v>
      </c>
      <c r="X18" s="451">
        <v>0.10843080228605692</v>
      </c>
      <c r="Y18" s="451">
        <v>0.12392091689835077</v>
      </c>
    </row>
    <row r="19" spans="2:25" ht="15.75" customHeight="1" x14ac:dyDescent="0.3">
      <c r="B19" s="770" t="s">
        <v>12</v>
      </c>
      <c r="C19" s="771"/>
      <c r="D19" s="524">
        <v>0.28999999999999998</v>
      </c>
      <c r="E19" s="524">
        <v>0.72</v>
      </c>
      <c r="F19" s="524">
        <v>1.01</v>
      </c>
      <c r="G19" s="524">
        <v>1.44</v>
      </c>
      <c r="H19" s="524">
        <v>1.9</v>
      </c>
      <c r="I19" s="525" t="s">
        <v>333</v>
      </c>
      <c r="S19" s="451" t="s">
        <v>11</v>
      </c>
      <c r="T19" s="451"/>
      <c r="U19" s="451">
        <v>0.34624258854033912</v>
      </c>
      <c r="V19" s="451">
        <v>0.63416449134559993</v>
      </c>
      <c r="W19" s="451">
        <v>1.2964681323565146</v>
      </c>
      <c r="X19" s="451">
        <v>2.8776869027198626</v>
      </c>
      <c r="Y19" s="451">
        <v>3.4048640619376549</v>
      </c>
    </row>
    <row r="20" spans="2:25" ht="15.75" customHeight="1" x14ac:dyDescent="0.3">
      <c r="B20" s="770" t="s">
        <v>13</v>
      </c>
      <c r="C20" s="771"/>
      <c r="D20" s="524">
        <v>0.01</v>
      </c>
      <c r="E20" s="524">
        <v>0.01</v>
      </c>
      <c r="F20" s="524">
        <v>0.01</v>
      </c>
      <c r="G20" s="524">
        <v>0.01</v>
      </c>
      <c r="H20" s="524">
        <v>0.01</v>
      </c>
      <c r="I20" s="525" t="s">
        <v>405</v>
      </c>
      <c r="S20" s="451" t="s">
        <v>12</v>
      </c>
      <c r="T20" s="451"/>
      <c r="U20" s="451">
        <v>0.28554224648832599</v>
      </c>
      <c r="V20" s="451">
        <v>0.72002933854517226</v>
      </c>
      <c r="W20" s="451">
        <v>1.0064449533150317</v>
      </c>
      <c r="X20" s="451">
        <v>1.44499968749023</v>
      </c>
      <c r="Y20" s="451">
        <v>1.8956012546262551</v>
      </c>
    </row>
    <row r="21" spans="2:25" ht="15.75" customHeight="1" x14ac:dyDescent="0.3">
      <c r="B21" s="770" t="s">
        <v>14</v>
      </c>
      <c r="C21" s="771"/>
      <c r="D21" s="524">
        <v>0.04</v>
      </c>
      <c r="E21" s="524">
        <v>0.11</v>
      </c>
      <c r="F21" s="524">
        <v>0.21</v>
      </c>
      <c r="G21" s="524">
        <v>0.35</v>
      </c>
      <c r="H21" s="524">
        <v>0.4</v>
      </c>
      <c r="I21" s="525" t="s">
        <v>333</v>
      </c>
      <c r="S21" s="451" t="s">
        <v>13</v>
      </c>
      <c r="T21" s="451"/>
      <c r="U21" s="451">
        <v>7.2902029632532592E-3</v>
      </c>
      <c r="V21" s="451">
        <v>9.1127537040665719E-3</v>
      </c>
      <c r="W21" s="451">
        <v>1.0935304444879886E-2</v>
      </c>
      <c r="X21" s="451">
        <v>1.2757855185693201E-2</v>
      </c>
      <c r="Y21" s="451">
        <v>1.4580405926506518E-2</v>
      </c>
    </row>
    <row r="22" spans="2:25" ht="15.75" customHeight="1" x14ac:dyDescent="0.3">
      <c r="B22" s="770" t="s">
        <v>15</v>
      </c>
      <c r="C22" s="771"/>
      <c r="D22" s="524">
        <v>0.08</v>
      </c>
      <c r="E22" s="524">
        <v>0.1</v>
      </c>
      <c r="F22" s="524">
        <v>0.12</v>
      </c>
      <c r="G22" s="524">
        <v>0.14000000000000001</v>
      </c>
      <c r="H22" s="524">
        <v>0.16</v>
      </c>
      <c r="I22" s="525" t="s">
        <v>405</v>
      </c>
      <c r="S22" s="451" t="s">
        <v>14</v>
      </c>
      <c r="T22" s="451"/>
      <c r="U22" s="451">
        <v>4.2905184381875593E-2</v>
      </c>
      <c r="V22" s="451">
        <v>0.11203292161465764</v>
      </c>
      <c r="W22" s="451">
        <v>0.20516585167863827</v>
      </c>
      <c r="X22" s="451">
        <v>0.34790001540782683</v>
      </c>
      <c r="Y22" s="451">
        <v>0.39760001760894487</v>
      </c>
    </row>
    <row r="23" spans="2:25" ht="15.75" customHeight="1" x14ac:dyDescent="0.3">
      <c r="B23" s="770" t="s">
        <v>17</v>
      </c>
      <c r="C23" s="771"/>
      <c r="D23" s="524">
        <v>0.04</v>
      </c>
      <c r="E23" s="524">
        <v>0.11</v>
      </c>
      <c r="F23" s="524">
        <v>0.21</v>
      </c>
      <c r="G23" s="524">
        <v>0.35</v>
      </c>
      <c r="H23" s="524">
        <v>0.4</v>
      </c>
      <c r="I23" s="525" t="s">
        <v>405</v>
      </c>
      <c r="S23" s="451" t="s">
        <v>15</v>
      </c>
      <c r="T23" s="451"/>
      <c r="U23" s="451">
        <v>7.8352200436330038E-2</v>
      </c>
      <c r="V23" s="451">
        <v>9.7940250545412541E-2</v>
      </c>
      <c r="W23" s="451">
        <v>0.11752830065449504</v>
      </c>
      <c r="X23" s="451">
        <v>0.13711635076357756</v>
      </c>
      <c r="Y23" s="451">
        <v>0.15670440087266008</v>
      </c>
    </row>
    <row r="24" spans="2:25" ht="15.75" customHeight="1" x14ac:dyDescent="0.3">
      <c r="B24" s="770" t="s">
        <v>18</v>
      </c>
      <c r="C24" s="771"/>
      <c r="D24" s="524">
        <v>0.03</v>
      </c>
      <c r="E24" s="524">
        <v>0.05</v>
      </c>
      <c r="F24" s="524">
        <v>0.06</v>
      </c>
      <c r="G24" s="524">
        <v>0.12</v>
      </c>
      <c r="H24" s="524">
        <v>0.15</v>
      </c>
      <c r="I24" s="525" t="s">
        <v>333</v>
      </c>
      <c r="S24" s="451" t="s">
        <v>17</v>
      </c>
      <c r="T24" s="451"/>
      <c r="U24" s="451">
        <v>4.2905184381875593E-2</v>
      </c>
      <c r="V24" s="451">
        <v>0.11203292161465764</v>
      </c>
      <c r="W24" s="451">
        <v>0.20516585167863827</v>
      </c>
      <c r="X24" s="451">
        <v>0.34790001540782683</v>
      </c>
      <c r="Y24" s="451">
        <v>0.39760001760894487</v>
      </c>
    </row>
    <row r="25" spans="2:25" ht="15.75" customHeight="1" x14ac:dyDescent="0.3">
      <c r="B25" s="770" t="s">
        <v>19</v>
      </c>
      <c r="C25" s="771"/>
      <c r="D25" s="524">
        <v>0.03</v>
      </c>
      <c r="E25" s="524">
        <v>0.05</v>
      </c>
      <c r="F25" s="524">
        <v>0.06</v>
      </c>
      <c r="G25" s="524">
        <v>0.12</v>
      </c>
      <c r="H25" s="524">
        <v>0.15</v>
      </c>
      <c r="I25" s="525" t="s">
        <v>333</v>
      </c>
      <c r="S25" s="451" t="s">
        <v>18</v>
      </c>
      <c r="T25" s="451"/>
      <c r="U25" s="451">
        <v>3.1829804580021943E-2</v>
      </c>
      <c r="V25" s="451">
        <v>4.8315700463393098E-2</v>
      </c>
      <c r="W25" s="451">
        <v>5.797884055607172E-2</v>
      </c>
      <c r="X25" s="451">
        <v>0.11616913219309503</v>
      </c>
      <c r="Y25" s="451">
        <v>0.14741916710201577</v>
      </c>
    </row>
    <row r="26" spans="2:25" ht="15.75" customHeight="1" x14ac:dyDescent="0.3">
      <c r="B26" s="770" t="s">
        <v>20</v>
      </c>
      <c r="C26" s="771"/>
      <c r="D26" s="524">
        <v>0.03</v>
      </c>
      <c r="E26" s="524">
        <v>0.05</v>
      </c>
      <c r="F26" s="524">
        <v>0.06</v>
      </c>
      <c r="G26" s="524">
        <v>0.12</v>
      </c>
      <c r="H26" s="524">
        <v>0.15</v>
      </c>
      <c r="I26" s="525" t="s">
        <v>333</v>
      </c>
      <c r="S26" s="451" t="s">
        <v>19</v>
      </c>
      <c r="T26" s="451"/>
      <c r="U26" s="451">
        <v>3.1829804580021943E-2</v>
      </c>
      <c r="V26" s="451">
        <v>4.8315700463393098E-2</v>
      </c>
      <c r="W26" s="451">
        <v>5.797884055607172E-2</v>
      </c>
      <c r="X26" s="451">
        <v>0.11616913219309503</v>
      </c>
      <c r="Y26" s="451">
        <v>0.14741916710201577</v>
      </c>
    </row>
    <row r="27" spans="2:25" ht="15.75" customHeight="1" x14ac:dyDescent="0.3">
      <c r="B27" s="770" t="s">
        <v>491</v>
      </c>
      <c r="C27" s="771"/>
      <c r="D27" s="524">
        <v>0.04</v>
      </c>
      <c r="E27" s="524">
        <v>0.11</v>
      </c>
      <c r="F27" s="524">
        <v>0.21</v>
      </c>
      <c r="G27" s="524">
        <v>0.35</v>
      </c>
      <c r="H27" s="524">
        <v>0.4</v>
      </c>
      <c r="I27" s="525" t="s">
        <v>405</v>
      </c>
      <c r="S27" s="451" t="s">
        <v>20</v>
      </c>
      <c r="T27" s="451"/>
      <c r="U27" s="451">
        <v>3.1829804580021943E-2</v>
      </c>
      <c r="V27" s="451">
        <v>4.8315700463393098E-2</v>
      </c>
      <c r="W27" s="451">
        <v>5.797884055607172E-2</v>
      </c>
      <c r="X27" s="451">
        <v>0.11616913219309503</v>
      </c>
      <c r="Y27" s="451">
        <v>0.14741916710201577</v>
      </c>
    </row>
    <row r="28" spans="2:25" ht="15.75" customHeight="1" x14ac:dyDescent="0.3">
      <c r="B28" s="772" t="s">
        <v>22</v>
      </c>
      <c r="C28" s="773"/>
      <c r="D28" s="524">
        <v>0.4</v>
      </c>
      <c r="E28" s="524">
        <v>1</v>
      </c>
      <c r="F28" s="524">
        <v>1.57</v>
      </c>
      <c r="G28" s="524">
        <v>2.23</v>
      </c>
      <c r="H28" s="524">
        <v>3.53</v>
      </c>
      <c r="I28" s="525" t="s">
        <v>405</v>
      </c>
      <c r="S28" s="451" t="s">
        <v>491</v>
      </c>
      <c r="T28" s="451"/>
      <c r="U28" s="451">
        <v>4.2905184381875593E-2</v>
      </c>
      <c r="V28" s="451">
        <v>0.11203292161465764</v>
      </c>
      <c r="W28" s="451">
        <v>0.20516585167863827</v>
      </c>
      <c r="X28" s="451">
        <v>0.34790001540782683</v>
      </c>
      <c r="Y28" s="451">
        <v>0.39760001760894487</v>
      </c>
    </row>
    <row r="29" spans="2:25" ht="15.75" customHeight="1" x14ac:dyDescent="0.3">
      <c r="B29" s="772" t="s">
        <v>23</v>
      </c>
      <c r="C29" s="773"/>
      <c r="D29" s="524">
        <v>0.56999999999999995</v>
      </c>
      <c r="E29" s="524">
        <v>1.39</v>
      </c>
      <c r="F29" s="524">
        <v>2.04</v>
      </c>
      <c r="G29" s="524">
        <v>3</v>
      </c>
      <c r="H29" s="524">
        <v>4.87</v>
      </c>
      <c r="I29" s="525" t="s">
        <v>405</v>
      </c>
      <c r="S29" s="451" t="s">
        <v>22</v>
      </c>
      <c r="T29" s="451"/>
      <c r="U29" s="451">
        <v>0.40481930196049593</v>
      </c>
      <c r="V29" s="451">
        <v>0.99657840558360089</v>
      </c>
      <c r="W29" s="451">
        <v>1.5658280222622489</v>
      </c>
      <c r="X29" s="451">
        <v>2.2347041313747185</v>
      </c>
      <c r="Y29" s="451">
        <v>3.5316719948964348</v>
      </c>
    </row>
    <row r="30" spans="2:25" ht="15.75" customHeight="1" x14ac:dyDescent="0.3">
      <c r="B30" s="772" t="s">
        <v>509</v>
      </c>
      <c r="C30" s="773"/>
      <c r="D30" s="524">
        <v>2.1596889599999995</v>
      </c>
      <c r="E30" s="524">
        <v>2.7512834456249995</v>
      </c>
      <c r="F30" s="524">
        <v>3.3428779312499994</v>
      </c>
      <c r="G30" s="524">
        <v>3.9344724168749994</v>
      </c>
      <c r="H30" s="524">
        <v>4.5260669025000011</v>
      </c>
      <c r="I30" s="525" t="s">
        <v>506</v>
      </c>
      <c r="S30" s="451"/>
      <c r="T30" s="451"/>
      <c r="U30" s="451"/>
      <c r="V30" s="451"/>
      <c r="W30" s="451"/>
      <c r="X30" s="451"/>
      <c r="Y30" s="451"/>
    </row>
    <row r="31" spans="2:25" ht="15.75" customHeight="1" x14ac:dyDescent="0.3">
      <c r="B31" s="772" t="s">
        <v>24</v>
      </c>
      <c r="C31" s="773"/>
      <c r="D31" s="524">
        <v>0</v>
      </c>
      <c r="E31" s="524">
        <v>0.02</v>
      </c>
      <c r="F31" s="524">
        <v>0.03</v>
      </c>
      <c r="G31" s="524">
        <v>7.0000000000000007E-2</v>
      </c>
      <c r="H31" s="524">
        <v>0.23</v>
      </c>
      <c r="I31" s="525" t="s">
        <v>406</v>
      </c>
      <c r="S31" s="451" t="s">
        <v>23</v>
      </c>
      <c r="T31" s="451"/>
      <c r="U31" s="451">
        <v>0.56958214626885495</v>
      </c>
      <c r="V31" s="451">
        <v>1.3908497572587581</v>
      </c>
      <c r="W31" s="451">
        <v>2.0361298403169146</v>
      </c>
      <c r="X31" s="451">
        <v>2.9973328241580197</v>
      </c>
      <c r="Y31" s="451">
        <v>4.8736009360390691</v>
      </c>
    </row>
    <row r="32" spans="2:25" ht="15.75" customHeight="1" x14ac:dyDescent="0.3">
      <c r="B32" s="772" t="s">
        <v>1</v>
      </c>
      <c r="C32" s="773"/>
      <c r="D32" s="524">
        <v>0.09</v>
      </c>
      <c r="E32" s="524">
        <v>0.11</v>
      </c>
      <c r="F32" s="524">
        <v>0.18</v>
      </c>
      <c r="G32" s="524">
        <v>0.28999999999999998</v>
      </c>
      <c r="H32" s="524">
        <v>0.33</v>
      </c>
      <c r="I32" s="525" t="s">
        <v>405</v>
      </c>
      <c r="S32" s="451" t="s">
        <v>24</v>
      </c>
      <c r="T32" s="451"/>
      <c r="U32" s="451">
        <v>3.769774343225004E-3</v>
      </c>
      <c r="V32" s="451">
        <v>2.2674170139378728E-2</v>
      </c>
      <c r="W32" s="451">
        <v>2.720900416725448E-2</v>
      </c>
      <c r="X32" s="451">
        <v>6.9703150798753E-2</v>
      </c>
      <c r="Y32" s="451">
        <v>0.22629552729785765</v>
      </c>
    </row>
    <row r="33" spans="2:25" ht="15.75" customHeight="1" x14ac:dyDescent="0.3">
      <c r="B33" s="770" t="s">
        <v>25</v>
      </c>
      <c r="C33" s="771"/>
      <c r="D33" s="524">
        <v>0.03</v>
      </c>
      <c r="E33" s="524">
        <v>0.04</v>
      </c>
      <c r="F33" s="524">
        <v>0.05</v>
      </c>
      <c r="G33" s="524">
        <v>0.08</v>
      </c>
      <c r="H33" s="524">
        <v>0.1</v>
      </c>
      <c r="I33" s="525" t="s">
        <v>405</v>
      </c>
      <c r="S33" s="451" t="s">
        <v>1</v>
      </c>
      <c r="T33" s="451"/>
      <c r="U33" s="451">
        <v>9.0997276417428483E-2</v>
      </c>
      <c r="V33" s="451">
        <v>0.11374659552178558</v>
      </c>
      <c r="W33" s="451">
        <v>0.18470565168801564</v>
      </c>
      <c r="X33" s="451">
        <v>0.28736688910270414</v>
      </c>
      <c r="Y33" s="451">
        <v>0.32841930183166185</v>
      </c>
    </row>
    <row r="34" spans="2:25" ht="15.75" customHeight="1" x14ac:dyDescent="0.3">
      <c r="B34" s="770" t="s">
        <v>26</v>
      </c>
      <c r="C34" s="771"/>
      <c r="D34" s="524">
        <v>0.04</v>
      </c>
      <c r="E34" s="524">
        <v>0.04</v>
      </c>
      <c r="F34" s="524">
        <v>0.05</v>
      </c>
      <c r="G34" s="524">
        <v>0.12</v>
      </c>
      <c r="H34" s="524">
        <v>0.14000000000000001</v>
      </c>
      <c r="I34" s="525" t="s">
        <v>405</v>
      </c>
      <c r="S34" s="451" t="s">
        <v>25</v>
      </c>
      <c r="T34" s="451"/>
      <c r="U34" s="451">
        <v>3.1871348877880464E-2</v>
      </c>
      <c r="V34" s="451">
        <v>3.9839186097350585E-2</v>
      </c>
      <c r="W34" s="451">
        <v>4.7807023316820692E-2</v>
      </c>
      <c r="X34" s="451">
        <v>8.388718973868918E-2</v>
      </c>
      <c r="Y34" s="451">
        <v>9.5871073987073341E-2</v>
      </c>
    </row>
    <row r="35" spans="2:25" ht="15.75" customHeight="1" x14ac:dyDescent="0.3">
      <c r="B35" s="770" t="s">
        <v>293</v>
      </c>
      <c r="C35" s="771"/>
      <c r="D35" s="524">
        <v>0.12</v>
      </c>
      <c r="E35" s="524">
        <v>0.16</v>
      </c>
      <c r="F35" s="524">
        <v>0.19</v>
      </c>
      <c r="G35" s="524">
        <v>0.22</v>
      </c>
      <c r="H35" s="524">
        <v>0.25</v>
      </c>
      <c r="I35" s="525" t="s">
        <v>333</v>
      </c>
      <c r="S35" s="451" t="s">
        <v>26</v>
      </c>
      <c r="T35" s="451"/>
      <c r="U35" s="451">
        <v>3.5895556554346862E-2</v>
      </c>
      <c r="V35" s="451">
        <v>4.4869445692933579E-2</v>
      </c>
      <c r="W35" s="451">
        <v>5.3843334831520297E-2</v>
      </c>
      <c r="X35" s="451">
        <v>0.12009784588996364</v>
      </c>
      <c r="Y35" s="451">
        <v>0.13725468101710131</v>
      </c>
    </row>
    <row r="36" spans="2:25" ht="15.75" customHeight="1" x14ac:dyDescent="0.3">
      <c r="B36" s="770" t="s">
        <v>189</v>
      </c>
      <c r="C36" s="771"/>
      <c r="D36" s="524">
        <v>0.01</v>
      </c>
      <c r="E36" s="524">
        <v>0.01</v>
      </c>
      <c r="F36" s="524">
        <v>0.02</v>
      </c>
      <c r="G36" s="524">
        <v>0.02</v>
      </c>
      <c r="H36" s="524">
        <v>0.02</v>
      </c>
      <c r="I36" s="525" t="s">
        <v>404</v>
      </c>
      <c r="S36" s="451" t="s">
        <v>293</v>
      </c>
      <c r="T36" s="451"/>
      <c r="U36" s="451">
        <v>0.1241181539518298</v>
      </c>
      <c r="V36" s="451">
        <v>0.15514769243978724</v>
      </c>
      <c r="W36" s="451">
        <v>0.18617723092774471</v>
      </c>
      <c r="X36" s="451">
        <v>0.21720676941570213</v>
      </c>
      <c r="Y36" s="451">
        <v>0.24823630790365961</v>
      </c>
    </row>
    <row r="37" spans="2:25" ht="15.75" customHeight="1" x14ac:dyDescent="0.3">
      <c r="B37" s="770" t="s">
        <v>190</v>
      </c>
      <c r="C37" s="771"/>
      <c r="D37" s="524">
        <v>0.02</v>
      </c>
      <c r="E37" s="524">
        <v>0.02</v>
      </c>
      <c r="F37" s="524">
        <v>0.03</v>
      </c>
      <c r="G37" s="524">
        <v>0.03</v>
      </c>
      <c r="H37" s="524">
        <v>0.04</v>
      </c>
      <c r="I37" s="525" t="s">
        <v>404</v>
      </c>
      <c r="S37" s="451" t="s">
        <v>189</v>
      </c>
      <c r="T37" s="451"/>
      <c r="U37" s="451">
        <v>1.138475443544619E-2</v>
      </c>
      <c r="V37" s="451">
        <v>1.4230943044307736E-2</v>
      </c>
      <c r="W37" s="451">
        <v>1.7077131653169285E-2</v>
      </c>
      <c r="X37" s="451">
        <v>1.9923320262030829E-2</v>
      </c>
      <c r="Y37" s="451">
        <v>2.276950887089238E-2</v>
      </c>
    </row>
    <row r="38" spans="2:25" ht="15.75" customHeight="1" x14ac:dyDescent="0.3">
      <c r="B38" s="770" t="s">
        <v>105</v>
      </c>
      <c r="C38" s="771"/>
      <c r="D38" s="524">
        <v>0.01</v>
      </c>
      <c r="E38" s="524">
        <v>0.02</v>
      </c>
      <c r="F38" s="524">
        <v>0.02</v>
      </c>
      <c r="G38" s="524">
        <v>0.02</v>
      </c>
      <c r="H38" s="524">
        <v>0.03</v>
      </c>
      <c r="I38" s="525" t="s">
        <v>404</v>
      </c>
      <c r="S38" s="451" t="s">
        <v>190</v>
      </c>
      <c r="T38" s="451"/>
      <c r="U38" s="451">
        <v>1.885541322108111E-2</v>
      </c>
      <c r="V38" s="451">
        <v>2.3569266526351388E-2</v>
      </c>
      <c r="W38" s="451">
        <v>2.8283119831621666E-2</v>
      </c>
      <c r="X38" s="451">
        <v>3.2996973136891941E-2</v>
      </c>
      <c r="Y38" s="451">
        <v>3.7710826442162219E-2</v>
      </c>
    </row>
    <row r="39" spans="2:25" ht="15.75" customHeight="1" x14ac:dyDescent="0.3">
      <c r="B39" s="770" t="s">
        <v>191</v>
      </c>
      <c r="C39" s="771"/>
      <c r="D39" s="524">
        <v>0.34</v>
      </c>
      <c r="E39" s="524">
        <v>0.43</v>
      </c>
      <c r="F39" s="524">
        <v>0.52</v>
      </c>
      <c r="G39" s="524">
        <v>0.6</v>
      </c>
      <c r="H39" s="524">
        <v>0.69</v>
      </c>
      <c r="I39" s="525" t="s">
        <v>413</v>
      </c>
      <c r="S39" s="451" t="s">
        <v>105</v>
      </c>
      <c r="T39" s="451"/>
      <c r="U39" s="451">
        <v>1.3942374656015961E-2</v>
      </c>
      <c r="V39" s="451">
        <v>1.742796832001995E-2</v>
      </c>
      <c r="W39" s="451">
        <v>2.0913561984023939E-2</v>
      </c>
      <c r="X39" s="451">
        <v>2.4399155648027929E-2</v>
      </c>
      <c r="Y39" s="451">
        <v>2.7884749312031921E-2</v>
      </c>
    </row>
    <row r="40" spans="2:25" ht="15.75" customHeight="1" x14ac:dyDescent="0.3">
      <c r="B40" s="770" t="s">
        <v>27</v>
      </c>
      <c r="C40" s="771"/>
      <c r="D40" s="524">
        <v>0.04</v>
      </c>
      <c r="E40" s="524">
        <v>0.11</v>
      </c>
      <c r="F40" s="524">
        <v>0.21</v>
      </c>
      <c r="G40" s="524">
        <v>0.35</v>
      </c>
      <c r="H40" s="524">
        <v>0.4</v>
      </c>
      <c r="I40" s="525" t="s">
        <v>333</v>
      </c>
      <c r="S40" s="451" t="s">
        <v>191</v>
      </c>
      <c r="T40" s="451"/>
      <c r="U40" s="451">
        <v>0.34382433153064573</v>
      </c>
      <c r="V40" s="451">
        <v>0.42978041441330711</v>
      </c>
      <c r="W40" s="451">
        <v>0.5157364972959686</v>
      </c>
      <c r="X40" s="451">
        <v>0.60169258017863003</v>
      </c>
      <c r="Y40" s="451">
        <v>0.68764866306129147</v>
      </c>
    </row>
    <row r="41" spans="2:25" ht="15.75" customHeight="1" x14ac:dyDescent="0.3">
      <c r="B41" s="770" t="s">
        <v>28</v>
      </c>
      <c r="C41" s="771"/>
      <c r="D41" s="524">
        <v>0.04</v>
      </c>
      <c r="E41" s="524">
        <v>0.11</v>
      </c>
      <c r="F41" s="524">
        <v>0.21</v>
      </c>
      <c r="G41" s="524">
        <v>0.35</v>
      </c>
      <c r="H41" s="524">
        <v>0.4</v>
      </c>
      <c r="I41" s="525" t="s">
        <v>333</v>
      </c>
      <c r="S41" s="451" t="s">
        <v>27</v>
      </c>
      <c r="T41" s="451"/>
      <c r="U41" s="451">
        <v>4.2905184381875593E-2</v>
      </c>
      <c r="V41" s="451">
        <v>0.11203292161465764</v>
      </c>
      <c r="W41" s="451">
        <v>0.20516585167863827</v>
      </c>
      <c r="X41" s="451">
        <v>0.34790001540782683</v>
      </c>
      <c r="Y41" s="451">
        <v>0.39760001760894487</v>
      </c>
    </row>
    <row r="42" spans="2:25" ht="15.75" customHeight="1" x14ac:dyDescent="0.3">
      <c r="B42" s="770" t="s">
        <v>29</v>
      </c>
      <c r="C42" s="771"/>
      <c r="D42" s="524">
        <v>0.15</v>
      </c>
      <c r="E42" s="524">
        <v>0.19</v>
      </c>
      <c r="F42" s="524">
        <v>0.22</v>
      </c>
      <c r="G42" s="524">
        <v>0.26</v>
      </c>
      <c r="H42" s="524">
        <v>0.3</v>
      </c>
      <c r="I42" s="525" t="s">
        <v>333</v>
      </c>
      <c r="S42" s="451" t="s">
        <v>28</v>
      </c>
      <c r="T42" s="451"/>
      <c r="U42" s="451">
        <v>4.2905184381875593E-2</v>
      </c>
      <c r="V42" s="451">
        <v>0.11203292161465764</v>
      </c>
      <c r="W42" s="451">
        <v>0.20516585167863827</v>
      </c>
      <c r="X42" s="451">
        <v>0.34790001540782683</v>
      </c>
      <c r="Y42" s="451">
        <v>0.39760001760894487</v>
      </c>
    </row>
    <row r="43" spans="2:25" ht="15.75" customHeight="1" x14ac:dyDescent="0.3">
      <c r="B43" s="770" t="s">
        <v>33</v>
      </c>
      <c r="C43" s="771"/>
      <c r="D43" s="524">
        <v>0.04</v>
      </c>
      <c r="E43" s="524">
        <v>0.11</v>
      </c>
      <c r="F43" s="524">
        <v>0.21</v>
      </c>
      <c r="G43" s="524">
        <v>0.35</v>
      </c>
      <c r="H43" s="524">
        <v>0.4</v>
      </c>
      <c r="I43" s="525" t="s">
        <v>333</v>
      </c>
      <c r="S43" s="451" t="s">
        <v>29</v>
      </c>
      <c r="T43" s="451"/>
      <c r="U43" s="451">
        <v>0.14975536130234138</v>
      </c>
      <c r="V43" s="451">
        <v>0.18719420162792669</v>
      </c>
      <c r="W43" s="451">
        <v>0.22463304195351205</v>
      </c>
      <c r="X43" s="451">
        <v>0.26207188227909739</v>
      </c>
      <c r="Y43" s="451">
        <v>0.29951072260468276</v>
      </c>
    </row>
    <row r="44" spans="2:25" ht="15.75" customHeight="1" x14ac:dyDescent="0.3">
      <c r="B44" s="770" t="s">
        <v>34</v>
      </c>
      <c r="C44" s="771"/>
      <c r="D44" s="524">
        <v>0.04</v>
      </c>
      <c r="E44" s="524">
        <v>0.11</v>
      </c>
      <c r="F44" s="524">
        <v>0.21</v>
      </c>
      <c r="G44" s="524">
        <v>0.35</v>
      </c>
      <c r="H44" s="524">
        <v>0.4</v>
      </c>
      <c r="I44" s="525" t="s">
        <v>333</v>
      </c>
      <c r="S44" s="451" t="s">
        <v>33</v>
      </c>
      <c r="T44" s="451"/>
      <c r="U44" s="451">
        <v>4.2905184381875593E-2</v>
      </c>
      <c r="V44" s="451">
        <v>0.11203292161465764</v>
      </c>
      <c r="W44" s="451">
        <v>0.20516585167863827</v>
      </c>
      <c r="X44" s="451">
        <v>0.34790001540782683</v>
      </c>
      <c r="Y44" s="451">
        <v>0.39760001760894487</v>
      </c>
    </row>
    <row r="45" spans="2:25" ht="15.75" customHeight="1" x14ac:dyDescent="0.3">
      <c r="B45" s="770" t="s">
        <v>171</v>
      </c>
      <c r="C45" s="771"/>
      <c r="D45" s="524">
        <v>0.04</v>
      </c>
      <c r="E45" s="524">
        <v>0.05</v>
      </c>
      <c r="F45" s="524">
        <v>0.08</v>
      </c>
      <c r="G45" s="524">
        <v>0.1</v>
      </c>
      <c r="H45" s="524">
        <v>0.11</v>
      </c>
      <c r="I45" s="525" t="s">
        <v>405</v>
      </c>
      <c r="S45" s="451" t="s">
        <v>34</v>
      </c>
      <c r="T45" s="451"/>
      <c r="U45" s="451">
        <v>4.2905184381875593E-2</v>
      </c>
      <c r="V45" s="451">
        <v>0.11203292161465764</v>
      </c>
      <c r="W45" s="451">
        <v>0.20516585167863827</v>
      </c>
      <c r="X45" s="451">
        <v>0.34790001540782683</v>
      </c>
      <c r="Y45" s="451">
        <v>0.39760001760894487</v>
      </c>
    </row>
    <row r="46" spans="2:25" ht="15.75" customHeight="1" x14ac:dyDescent="0.3">
      <c r="B46" s="770" t="s">
        <v>39</v>
      </c>
      <c r="C46" s="771"/>
      <c r="D46" s="524">
        <v>0.03</v>
      </c>
      <c r="E46" s="524">
        <v>0.03</v>
      </c>
      <c r="F46" s="524">
        <v>0.09</v>
      </c>
      <c r="G46" s="524">
        <v>0.17</v>
      </c>
      <c r="H46" s="524">
        <v>0.2</v>
      </c>
      <c r="I46" s="525" t="s">
        <v>405</v>
      </c>
      <c r="S46" s="451" t="s">
        <v>171</v>
      </c>
      <c r="T46" s="451"/>
      <c r="U46" s="451">
        <v>3.8995053250978962E-2</v>
      </c>
      <c r="V46" s="451">
        <v>4.8743816563723702E-2</v>
      </c>
      <c r="W46" s="451">
        <v>8.4081899478263639E-2</v>
      </c>
      <c r="X46" s="451">
        <v>9.8095549391307588E-2</v>
      </c>
      <c r="Y46" s="451">
        <v>0.11210919930435154</v>
      </c>
    </row>
    <row r="47" spans="2:25" ht="15.75" customHeight="1" x14ac:dyDescent="0.3">
      <c r="B47" s="770" t="s">
        <v>40</v>
      </c>
      <c r="C47" s="771"/>
      <c r="D47" s="524">
        <v>0.31</v>
      </c>
      <c r="E47" s="524">
        <v>0.56999999999999995</v>
      </c>
      <c r="F47" s="524">
        <v>0.9</v>
      </c>
      <c r="G47" s="524">
        <v>1.24</v>
      </c>
      <c r="H47" s="524">
        <v>1.37</v>
      </c>
      <c r="I47" s="525" t="s">
        <v>333</v>
      </c>
      <c r="S47" s="451" t="s">
        <v>39</v>
      </c>
      <c r="T47" s="451"/>
      <c r="U47" s="451">
        <v>2.5342670549338638E-2</v>
      </c>
      <c r="V47" s="451">
        <v>3.1678338186673295E-2</v>
      </c>
      <c r="W47" s="451">
        <v>8.9359935740666363E-2</v>
      </c>
      <c r="X47" s="451">
        <v>0.17131551853775909</v>
      </c>
      <c r="Y47" s="451">
        <v>0.19578916404315322</v>
      </c>
    </row>
    <row r="48" spans="2:25" ht="15.75" customHeight="1" x14ac:dyDescent="0.3">
      <c r="B48" s="770" t="s">
        <v>41</v>
      </c>
      <c r="C48" s="771"/>
      <c r="D48" s="524">
        <v>0.35</v>
      </c>
      <c r="E48" s="524">
        <v>0.63</v>
      </c>
      <c r="F48" s="524">
        <v>1.3</v>
      </c>
      <c r="G48" s="524">
        <v>2.88</v>
      </c>
      <c r="H48" s="524">
        <v>3.4</v>
      </c>
      <c r="I48" s="525" t="s">
        <v>333</v>
      </c>
      <c r="S48" s="451" t="s">
        <v>40</v>
      </c>
      <c r="T48" s="451"/>
      <c r="U48" s="451">
        <v>0.3086707442568718</v>
      </c>
      <c r="V48" s="451">
        <v>0.57498705887181834</v>
      </c>
      <c r="W48" s="451">
        <v>0.89565940633103525</v>
      </c>
      <c r="X48" s="451">
        <v>1.2444439508529392</v>
      </c>
      <c r="Y48" s="451">
        <v>1.3659285306119766</v>
      </c>
    </row>
    <row r="49" spans="2:25" ht="15.75" customHeight="1" x14ac:dyDescent="0.3">
      <c r="B49" s="772" t="s">
        <v>42</v>
      </c>
      <c r="C49" s="773"/>
      <c r="D49" s="524">
        <v>0.03</v>
      </c>
      <c r="E49" s="524">
        <v>7.0000000000000007E-2</v>
      </c>
      <c r="F49" s="524">
        <v>0.14000000000000001</v>
      </c>
      <c r="G49" s="524">
        <v>0.16</v>
      </c>
      <c r="H49" s="524">
        <v>0.18</v>
      </c>
      <c r="I49" s="525" t="s">
        <v>404</v>
      </c>
      <c r="S49" s="451" t="s">
        <v>41</v>
      </c>
      <c r="T49" s="451"/>
      <c r="U49" s="451">
        <v>0.34624258854033912</v>
      </c>
      <c r="V49" s="451">
        <v>0.63416449134559993</v>
      </c>
      <c r="W49" s="451">
        <v>1.2964681323565146</v>
      </c>
      <c r="X49" s="451">
        <v>2.8776869027198626</v>
      </c>
      <c r="Y49" s="451">
        <v>3.4048640619376549</v>
      </c>
    </row>
    <row r="50" spans="2:25" ht="15.75" customHeight="1" x14ac:dyDescent="0.3">
      <c r="B50" s="772" t="s">
        <v>43</v>
      </c>
      <c r="C50" s="773"/>
      <c r="D50" s="524">
        <v>0.03</v>
      </c>
      <c r="E50" s="524">
        <v>0.04</v>
      </c>
      <c r="F50" s="524">
        <v>0.08</v>
      </c>
      <c r="G50" s="524">
        <v>0.14000000000000001</v>
      </c>
      <c r="H50" s="524">
        <v>0.16</v>
      </c>
      <c r="I50" s="525" t="s">
        <v>404</v>
      </c>
      <c r="S50" s="451" t="s">
        <v>42</v>
      </c>
      <c r="T50" s="451"/>
      <c r="U50" s="451">
        <v>2.6547327211478084E-2</v>
      </c>
      <c r="V50" s="451">
        <v>6.8345157178653956E-2</v>
      </c>
      <c r="W50" s="451">
        <v>0.13534900640836928</v>
      </c>
      <c r="X50" s="451">
        <v>0.15790717414309749</v>
      </c>
      <c r="Y50" s="451">
        <v>0.1804653418778257</v>
      </c>
    </row>
    <row r="51" spans="2:25" ht="15.75" customHeight="1" x14ac:dyDescent="0.3">
      <c r="B51" s="772" t="s">
        <v>276</v>
      </c>
      <c r="C51" s="773"/>
      <c r="D51" s="524">
        <v>0.03</v>
      </c>
      <c r="E51" s="524">
        <v>0.04</v>
      </c>
      <c r="F51" s="524">
        <v>0.05</v>
      </c>
      <c r="G51" s="524">
        <v>0.11</v>
      </c>
      <c r="H51" s="524">
        <v>0.13</v>
      </c>
      <c r="I51" s="525" t="s">
        <v>406</v>
      </c>
      <c r="S51" s="451" t="s">
        <v>43</v>
      </c>
      <c r="T51" s="451"/>
      <c r="U51" s="451">
        <v>3.079439737450931E-2</v>
      </c>
      <c r="V51" s="451">
        <v>3.8492996718136628E-2</v>
      </c>
      <c r="W51" s="451">
        <v>8.21892270440258E-2</v>
      </c>
      <c r="X51" s="451">
        <v>0.1375600979341646</v>
      </c>
      <c r="Y51" s="451">
        <v>0.15721154049618813</v>
      </c>
    </row>
    <row r="52" spans="2:25" ht="15.75" customHeight="1" x14ac:dyDescent="0.3">
      <c r="B52" s="772" t="s">
        <v>349</v>
      </c>
      <c r="C52" s="773"/>
      <c r="D52" s="524">
        <v>0.03</v>
      </c>
      <c r="E52" s="524">
        <v>0.03</v>
      </c>
      <c r="F52" s="524">
        <v>0.08</v>
      </c>
      <c r="G52" s="524">
        <v>0.09</v>
      </c>
      <c r="H52" s="524">
        <v>0.11</v>
      </c>
      <c r="I52" s="525" t="s">
        <v>404</v>
      </c>
      <c r="S52" s="451" t="s">
        <v>276</v>
      </c>
      <c r="T52" s="451"/>
      <c r="U52" s="451">
        <v>3.4157697129970299E-2</v>
      </c>
      <c r="V52" s="451">
        <v>4.2697121412462874E-2</v>
      </c>
      <c r="W52" s="451">
        <v>5.1236545694955449E-2</v>
      </c>
      <c r="X52" s="451">
        <v>0.10884537979242993</v>
      </c>
      <c r="Y52" s="451">
        <v>0.12636076078387784</v>
      </c>
    </row>
    <row r="53" spans="2:25" ht="15.75" customHeight="1" x14ac:dyDescent="0.3">
      <c r="B53" s="772" t="s">
        <v>326</v>
      </c>
      <c r="C53" s="773"/>
      <c r="D53" s="524">
        <v>0.23</v>
      </c>
      <c r="E53" s="524">
        <v>0.41</v>
      </c>
      <c r="F53" s="524">
        <v>0.57999999999999996</v>
      </c>
      <c r="G53" s="524">
        <v>0.74</v>
      </c>
      <c r="H53" s="524">
        <v>0.91</v>
      </c>
      <c r="I53" s="525" t="s">
        <v>406</v>
      </c>
      <c r="S53" s="451" t="s">
        <v>609</v>
      </c>
      <c r="T53" s="451"/>
      <c r="U53" s="451">
        <v>2.6073137524437157E-2</v>
      </c>
      <c r="V53" s="451">
        <v>3.2591421905546439E-2</v>
      </c>
      <c r="W53" s="451">
        <v>7.9197813699280514E-2</v>
      </c>
      <c r="X53" s="451">
        <v>9.2397449315827287E-2</v>
      </c>
      <c r="Y53" s="451">
        <v>0.10559708493237403</v>
      </c>
    </row>
    <row r="54" spans="2:25" ht="15.75" customHeight="1" x14ac:dyDescent="0.3">
      <c r="B54" s="772" t="s">
        <v>327</v>
      </c>
      <c r="C54" s="773"/>
      <c r="D54" s="524">
        <v>0.33</v>
      </c>
      <c r="E54" s="524">
        <v>0.54</v>
      </c>
      <c r="F54" s="524">
        <v>0.69</v>
      </c>
      <c r="G54" s="524">
        <v>0.81</v>
      </c>
      <c r="H54" s="524">
        <v>0.92</v>
      </c>
      <c r="I54" s="525" t="s">
        <v>406</v>
      </c>
      <c r="S54" s="451" t="s">
        <v>610</v>
      </c>
      <c r="T54" s="451"/>
      <c r="U54" s="451">
        <v>0.2327115308614556</v>
      </c>
      <c r="V54" s="451">
        <v>0.40856203182870365</v>
      </c>
      <c r="W54" s="451">
        <v>0.58249493630952376</v>
      </c>
      <c r="X54" s="451">
        <v>0.74304199720492636</v>
      </c>
      <c r="Y54" s="451">
        <v>0.91206257563956428</v>
      </c>
    </row>
    <row r="55" spans="2:25" ht="15.75" customHeight="1" x14ac:dyDescent="0.3">
      <c r="B55" s="772" t="s">
        <v>514</v>
      </c>
      <c r="C55" s="773"/>
      <c r="D55" s="524">
        <v>0.45319181929410285</v>
      </c>
      <c r="E55" s="524">
        <v>0.70813789029163388</v>
      </c>
      <c r="F55" s="524">
        <v>0.96540466362171351</v>
      </c>
      <c r="G55" s="524">
        <v>1.2081577935327699</v>
      </c>
      <c r="H55" s="524">
        <v>1.4299604891476971</v>
      </c>
      <c r="I55" s="525" t="s">
        <v>654</v>
      </c>
      <c r="S55" s="451"/>
      <c r="T55" s="451"/>
      <c r="U55" s="451"/>
      <c r="V55" s="451"/>
      <c r="W55" s="451"/>
      <c r="X55" s="451"/>
      <c r="Y55" s="451"/>
    </row>
    <row r="56" spans="2:25" ht="15.75" customHeight="1" x14ac:dyDescent="0.3">
      <c r="B56" s="772" t="s">
        <v>277</v>
      </c>
      <c r="C56" s="773"/>
      <c r="D56" s="524">
        <v>0.12</v>
      </c>
      <c r="E56" s="524">
        <v>0.15</v>
      </c>
      <c r="F56" s="524">
        <v>0.18</v>
      </c>
      <c r="G56" s="524">
        <v>0.26</v>
      </c>
      <c r="H56" s="524">
        <v>0.36</v>
      </c>
      <c r="I56" s="525" t="s">
        <v>406</v>
      </c>
      <c r="S56" s="451" t="s">
        <v>611</v>
      </c>
      <c r="T56" s="451"/>
      <c r="U56" s="451">
        <v>0.32827964901620366</v>
      </c>
      <c r="V56" s="451">
        <v>0.53815745067959075</v>
      </c>
      <c r="W56" s="451">
        <v>0.69121584652967782</v>
      </c>
      <c r="X56" s="451">
        <v>0.80641848761795754</v>
      </c>
      <c r="Y56" s="451">
        <v>0.92162112870623725</v>
      </c>
    </row>
    <row r="57" spans="2:25" ht="15.75" customHeight="1" x14ac:dyDescent="0.3">
      <c r="B57" s="772" t="s">
        <v>328</v>
      </c>
      <c r="C57" s="773"/>
      <c r="D57" s="524">
        <v>0.02</v>
      </c>
      <c r="E57" s="524">
        <v>0.03</v>
      </c>
      <c r="F57" s="524">
        <v>0.03</v>
      </c>
      <c r="G57" s="524">
        <v>0.08</v>
      </c>
      <c r="H57" s="524">
        <v>0.09</v>
      </c>
      <c r="I57" s="525" t="s">
        <v>404</v>
      </c>
      <c r="S57" s="451" t="s">
        <v>277</v>
      </c>
      <c r="T57" s="451"/>
      <c r="U57" s="451">
        <v>0.11982849020241199</v>
      </c>
      <c r="V57" s="451">
        <v>0.14978561275301497</v>
      </c>
      <c r="W57" s="451">
        <v>0.17974273530361798</v>
      </c>
      <c r="X57" s="451">
        <v>0.26196202857543643</v>
      </c>
      <c r="Y57" s="451">
        <v>0.35801687535521448</v>
      </c>
    </row>
    <row r="58" spans="2:25" ht="15.75" customHeight="1" x14ac:dyDescent="0.3">
      <c r="B58" s="772" t="s">
        <v>46</v>
      </c>
      <c r="C58" s="773"/>
      <c r="D58" s="524">
        <v>0.06</v>
      </c>
      <c r="E58" s="524">
        <v>0.1</v>
      </c>
      <c r="F58" s="524">
        <v>0.17</v>
      </c>
      <c r="G58" s="524">
        <v>0.2</v>
      </c>
      <c r="H58" s="524">
        <v>0.28999999999999998</v>
      </c>
      <c r="I58" s="525" t="s">
        <v>404</v>
      </c>
      <c r="S58" s="451" t="s">
        <v>612</v>
      </c>
      <c r="T58" s="451"/>
      <c r="U58" s="451">
        <v>2.2564090284982921E-2</v>
      </c>
      <c r="V58" s="451">
        <v>2.8205112856228648E-2</v>
      </c>
      <c r="W58" s="451">
        <v>3.3846135427474382E-2</v>
      </c>
      <c r="X58" s="451">
        <v>7.9542600800647137E-2</v>
      </c>
      <c r="Y58" s="451">
        <v>9.0905829486453871E-2</v>
      </c>
    </row>
    <row r="59" spans="2:25" ht="15.75" customHeight="1" x14ac:dyDescent="0.3">
      <c r="B59" s="772" t="s">
        <v>47</v>
      </c>
      <c r="C59" s="773"/>
      <c r="D59" s="524">
        <v>0.46</v>
      </c>
      <c r="E59" s="524">
        <v>0.79</v>
      </c>
      <c r="F59" s="524">
        <v>1.17</v>
      </c>
      <c r="G59" s="524">
        <v>1.56</v>
      </c>
      <c r="H59" s="524">
        <v>1.78</v>
      </c>
      <c r="I59" s="525" t="s">
        <v>406</v>
      </c>
      <c r="S59" s="451" t="s">
        <v>46</v>
      </c>
      <c r="T59" s="451"/>
      <c r="U59" s="451">
        <v>5.5735242101476262E-2</v>
      </c>
      <c r="V59" s="451">
        <v>9.7053556441893188E-2</v>
      </c>
      <c r="W59" s="451">
        <v>0.16760700183877539</v>
      </c>
      <c r="X59" s="451">
        <v>0.19554150214523794</v>
      </c>
      <c r="Y59" s="451">
        <v>0.29288141063309686</v>
      </c>
    </row>
    <row r="60" spans="2:25" ht="15.75" customHeight="1" x14ac:dyDescent="0.3">
      <c r="B60" s="772" t="s">
        <v>510</v>
      </c>
      <c r="C60" s="773"/>
      <c r="D60" s="524">
        <v>0.471671845842974</v>
      </c>
      <c r="E60" s="524">
        <v>0.72537155475268877</v>
      </c>
      <c r="F60" s="524">
        <v>1.0360680060461656</v>
      </c>
      <c r="G60" s="524">
        <v>1.4324170333184929</v>
      </c>
      <c r="H60" s="524">
        <v>1.9596838738679789</v>
      </c>
      <c r="I60" s="525" t="s">
        <v>655</v>
      </c>
      <c r="S60" s="451"/>
      <c r="T60" s="451"/>
      <c r="U60" s="451"/>
      <c r="V60" s="451"/>
      <c r="W60" s="451"/>
      <c r="X60" s="451"/>
      <c r="Y60" s="451"/>
    </row>
    <row r="61" spans="2:25" ht="15.75" customHeight="1" x14ac:dyDescent="0.3">
      <c r="B61" s="772" t="s">
        <v>279</v>
      </c>
      <c r="C61" s="773"/>
      <c r="D61" s="524">
        <v>0.02</v>
      </c>
      <c r="E61" s="524">
        <v>0.05</v>
      </c>
      <c r="F61" s="524">
        <v>0.06</v>
      </c>
      <c r="G61" s="524">
        <v>0.15</v>
      </c>
      <c r="H61" s="524">
        <v>0.17</v>
      </c>
      <c r="I61" s="525" t="s">
        <v>406</v>
      </c>
      <c r="S61" s="451" t="s">
        <v>47</v>
      </c>
      <c r="T61" s="451"/>
      <c r="U61" s="451">
        <v>0.4564333244723322</v>
      </c>
      <c r="V61" s="451">
        <v>0.78694276633853766</v>
      </c>
      <c r="W61" s="451">
        <v>1.1651157738742044</v>
      </c>
      <c r="X61" s="451">
        <v>1.5580231120134596</v>
      </c>
      <c r="Y61" s="451">
        <v>1.7805978423010973</v>
      </c>
    </row>
    <row r="62" spans="2:25" ht="15.75" customHeight="1" x14ac:dyDescent="0.3">
      <c r="B62" s="772" t="s">
        <v>292</v>
      </c>
      <c r="C62" s="773"/>
      <c r="D62" s="524">
        <v>0.03</v>
      </c>
      <c r="E62" s="524">
        <v>0.04</v>
      </c>
      <c r="F62" s="524">
        <v>0.05</v>
      </c>
      <c r="G62" s="524">
        <v>0.09</v>
      </c>
      <c r="H62" s="524">
        <v>0.11</v>
      </c>
      <c r="I62" s="525" t="s">
        <v>406</v>
      </c>
      <c r="S62" s="451" t="s">
        <v>279</v>
      </c>
      <c r="T62" s="451"/>
      <c r="U62" s="451">
        <v>2.0214699176883854E-2</v>
      </c>
      <c r="V62" s="451">
        <v>5.0853708186201808E-2</v>
      </c>
      <c r="W62" s="451">
        <v>6.102444982344217E-2</v>
      </c>
      <c r="X62" s="451">
        <v>0.14704079816421481</v>
      </c>
      <c r="Y62" s="451">
        <v>0.16804662647338833</v>
      </c>
    </row>
    <row r="63" spans="2:25" ht="15.75" customHeight="1" x14ac:dyDescent="0.3">
      <c r="B63" s="772" t="s">
        <v>278</v>
      </c>
      <c r="C63" s="773"/>
      <c r="D63" s="524">
        <v>0.04</v>
      </c>
      <c r="E63" s="524">
        <v>0.05</v>
      </c>
      <c r="F63" s="524">
        <v>7.0000000000000007E-2</v>
      </c>
      <c r="G63" s="524">
        <v>0.11</v>
      </c>
      <c r="H63" s="524">
        <v>0.17</v>
      </c>
      <c r="I63" s="525" t="s">
        <v>406</v>
      </c>
      <c r="S63" s="451" t="s">
        <v>292</v>
      </c>
      <c r="T63" s="451"/>
      <c r="U63" s="451">
        <v>3.1639288306640985E-2</v>
      </c>
      <c r="V63" s="451">
        <v>3.9549110383301236E-2</v>
      </c>
      <c r="W63" s="451">
        <v>4.7458932459961474E-2</v>
      </c>
      <c r="X63" s="451">
        <v>9.1964080011148003E-2</v>
      </c>
      <c r="Y63" s="451">
        <v>0.10795822541769297</v>
      </c>
    </row>
    <row r="64" spans="2:25" ht="15.75" customHeight="1" x14ac:dyDescent="0.3">
      <c r="B64" s="772" t="s">
        <v>439</v>
      </c>
      <c r="C64" s="773"/>
      <c r="D64" s="524">
        <v>0.03</v>
      </c>
      <c r="E64" s="524">
        <v>0.05</v>
      </c>
      <c r="F64" s="524">
        <v>0.06</v>
      </c>
      <c r="G64" s="524">
        <v>0.12</v>
      </c>
      <c r="H64" s="524">
        <v>0.15</v>
      </c>
      <c r="I64" s="525" t="s">
        <v>404</v>
      </c>
      <c r="S64" s="451" t="s">
        <v>278</v>
      </c>
      <c r="T64" s="451"/>
      <c r="U64" s="451">
        <v>4.3635426256541009E-2</v>
      </c>
      <c r="V64" s="451">
        <v>5.4544282820676256E-2</v>
      </c>
      <c r="W64" s="451">
        <v>6.545313938481151E-2</v>
      </c>
      <c r="X64" s="451">
        <v>0.10950251840392226</v>
      </c>
      <c r="Y64" s="451">
        <v>0.16625264941496601</v>
      </c>
    </row>
    <row r="65" spans="2:25" ht="15.75" customHeight="1" x14ac:dyDescent="0.3">
      <c r="B65" s="772" t="s">
        <v>641</v>
      </c>
      <c r="C65" s="773"/>
      <c r="D65" s="524">
        <v>0.17179686190535912</v>
      </c>
      <c r="E65" s="524">
        <v>0.30162223533863614</v>
      </c>
      <c r="F65" s="524">
        <v>0.4564704458343436</v>
      </c>
      <c r="G65" s="524">
        <v>0.63729067479084789</v>
      </c>
      <c r="H65" s="524">
        <v>0.8487901654438309</v>
      </c>
      <c r="I65" s="525" t="s">
        <v>656</v>
      </c>
      <c r="S65" s="451"/>
      <c r="T65" s="451"/>
      <c r="U65" s="451"/>
      <c r="V65" s="451"/>
      <c r="W65" s="451"/>
      <c r="X65" s="451"/>
      <c r="Y65" s="451"/>
    </row>
    <row r="66" spans="2:25" ht="15.75" customHeight="1" x14ac:dyDescent="0.3">
      <c r="B66" s="772" t="s">
        <v>49</v>
      </c>
      <c r="C66" s="773"/>
      <c r="D66" s="524">
        <v>0.04</v>
      </c>
      <c r="E66" s="524">
        <v>0.05</v>
      </c>
      <c r="F66" s="524">
        <v>0.09</v>
      </c>
      <c r="G66" s="524">
        <v>0.11</v>
      </c>
      <c r="H66" s="524">
        <v>0.12</v>
      </c>
      <c r="I66" s="525" t="s">
        <v>404</v>
      </c>
      <c r="S66" s="451" t="s">
        <v>613</v>
      </c>
      <c r="T66" s="451"/>
      <c r="U66" s="451">
        <v>3.1829804580021943E-2</v>
      </c>
      <c r="V66" s="451">
        <v>4.8315700463393098E-2</v>
      </c>
      <c r="W66" s="451">
        <v>5.797884055607172E-2</v>
      </c>
      <c r="X66" s="451">
        <v>0.11616913219309503</v>
      </c>
      <c r="Y66" s="451">
        <v>0.14741916710201577</v>
      </c>
    </row>
    <row r="67" spans="2:25" ht="15.75" customHeight="1" x14ac:dyDescent="0.3">
      <c r="B67" s="770" t="s">
        <v>50</v>
      </c>
      <c r="C67" s="771"/>
      <c r="D67" s="524">
        <v>0.04</v>
      </c>
      <c r="E67" s="524">
        <v>0.11</v>
      </c>
      <c r="F67" s="524">
        <v>0.21</v>
      </c>
      <c r="G67" s="524">
        <v>0.35</v>
      </c>
      <c r="H67" s="524">
        <v>0.4</v>
      </c>
      <c r="I67" s="525" t="s">
        <v>333</v>
      </c>
      <c r="S67" s="451" t="s">
        <v>49</v>
      </c>
      <c r="T67" s="451"/>
      <c r="U67" s="451">
        <v>3.6603166366973285E-2</v>
      </c>
      <c r="V67" s="451">
        <v>4.5753957958716604E-2</v>
      </c>
      <c r="W67" s="451">
        <v>9.0140403287118462E-2</v>
      </c>
      <c r="X67" s="451">
        <v>0.10516380383497152</v>
      </c>
      <c r="Y67" s="451">
        <v>0.12018720438282458</v>
      </c>
    </row>
    <row r="68" spans="2:25" ht="15.75" customHeight="1" x14ac:dyDescent="0.3">
      <c r="B68" s="770" t="s">
        <v>51</v>
      </c>
      <c r="C68" s="771"/>
      <c r="D68" s="524">
        <v>0.21</v>
      </c>
      <c r="E68" s="524">
        <v>0.46</v>
      </c>
      <c r="F68" s="524">
        <v>0.67</v>
      </c>
      <c r="G68" s="524">
        <v>0.92</v>
      </c>
      <c r="H68" s="524">
        <v>1.26</v>
      </c>
      <c r="I68" s="525" t="s">
        <v>333</v>
      </c>
      <c r="S68" s="451" t="s">
        <v>50</v>
      </c>
      <c r="T68" s="451"/>
      <c r="U68" s="451">
        <v>4.2905184381875593E-2</v>
      </c>
      <c r="V68" s="451">
        <v>0.11203292161465764</v>
      </c>
      <c r="W68" s="451">
        <v>0.20516585167863827</v>
      </c>
      <c r="X68" s="451">
        <v>0.34790001540782683</v>
      </c>
      <c r="Y68" s="451">
        <v>0.39760001760894487</v>
      </c>
    </row>
    <row r="69" spans="2:25" ht="15.75" customHeight="1" x14ac:dyDescent="0.3">
      <c r="B69" s="770" t="s">
        <v>108</v>
      </c>
      <c r="C69" s="771"/>
      <c r="D69" s="524">
        <v>0.21</v>
      </c>
      <c r="E69" s="524">
        <v>0.46</v>
      </c>
      <c r="F69" s="524">
        <v>0.67</v>
      </c>
      <c r="G69" s="524">
        <v>0.92</v>
      </c>
      <c r="H69" s="524">
        <v>1.26</v>
      </c>
      <c r="I69" s="525" t="s">
        <v>405</v>
      </c>
      <c r="S69" s="451" t="s">
        <v>51</v>
      </c>
      <c r="T69" s="451"/>
      <c r="U69" s="451">
        <v>0.20654286732427818</v>
      </c>
      <c r="V69" s="451">
        <v>0.45940713286933604</v>
      </c>
      <c r="W69" s="451">
        <v>0.67165279962424007</v>
      </c>
      <c r="X69" s="451">
        <v>0.92277386354672075</v>
      </c>
      <c r="Y69" s="451">
        <v>1.2630946245650829</v>
      </c>
    </row>
    <row r="70" spans="2:25" ht="15.75" customHeight="1" x14ac:dyDescent="0.3">
      <c r="B70" s="772" t="s">
        <v>52</v>
      </c>
      <c r="C70" s="773"/>
      <c r="D70" s="524">
        <v>0.28999999999999998</v>
      </c>
      <c r="E70" s="524">
        <v>0.72</v>
      </c>
      <c r="F70" s="524">
        <v>1.01</v>
      </c>
      <c r="G70" s="524">
        <v>1.44</v>
      </c>
      <c r="H70" s="524">
        <v>1.9</v>
      </c>
      <c r="I70" s="525" t="s">
        <v>405</v>
      </c>
      <c r="S70" s="451" t="s">
        <v>108</v>
      </c>
      <c r="T70" s="451"/>
      <c r="U70" s="451">
        <v>0.20654286732427818</v>
      </c>
      <c r="V70" s="451">
        <v>0.45940713286933604</v>
      </c>
      <c r="W70" s="451">
        <v>0.67165279962424007</v>
      </c>
      <c r="X70" s="451">
        <v>0.92277386354672075</v>
      </c>
      <c r="Y70" s="451">
        <v>1.2630946245650829</v>
      </c>
    </row>
    <row r="71" spans="2:25" ht="15.75" customHeight="1" x14ac:dyDescent="0.3">
      <c r="B71" s="770" t="s">
        <v>194</v>
      </c>
      <c r="C71" s="771"/>
      <c r="D71" s="524">
        <v>0.34</v>
      </c>
      <c r="E71" s="524">
        <v>0.81</v>
      </c>
      <c r="F71" s="524">
        <v>1.18</v>
      </c>
      <c r="G71" s="524">
        <v>1.55</v>
      </c>
      <c r="H71" s="524">
        <v>2.02</v>
      </c>
      <c r="I71" s="525" t="s">
        <v>405</v>
      </c>
      <c r="S71" s="451" t="s">
        <v>52</v>
      </c>
      <c r="T71" s="451"/>
      <c r="U71" s="451">
        <v>0.28554224648832599</v>
      </c>
      <c r="V71" s="451">
        <v>0.72002933854517226</v>
      </c>
      <c r="W71" s="451">
        <v>1.0064449533150317</v>
      </c>
      <c r="X71" s="451">
        <v>1.44499968749023</v>
      </c>
      <c r="Y71" s="451">
        <v>1.8956012546262551</v>
      </c>
    </row>
    <row r="72" spans="2:25" ht="15.75" customHeight="1" x14ac:dyDescent="0.3">
      <c r="B72" s="770" t="s">
        <v>54</v>
      </c>
      <c r="C72" s="771"/>
      <c r="D72" s="524">
        <v>0.15</v>
      </c>
      <c r="E72" s="524">
        <v>0.19</v>
      </c>
      <c r="F72" s="524">
        <v>0.22</v>
      </c>
      <c r="G72" s="524">
        <v>0.26</v>
      </c>
      <c r="H72" s="524">
        <v>0.3</v>
      </c>
      <c r="I72" s="525" t="s">
        <v>333</v>
      </c>
      <c r="S72" s="451" t="s">
        <v>194</v>
      </c>
      <c r="T72" s="451"/>
      <c r="U72" s="451">
        <v>0.33838309337864286</v>
      </c>
      <c r="V72" s="451">
        <v>0.80520818838555264</v>
      </c>
      <c r="W72" s="451">
        <v>1.1774018251252529</v>
      </c>
      <c r="X72" s="451">
        <v>1.5544798963783533</v>
      </c>
      <c r="Y72" s="451">
        <v>2.0237169627228608</v>
      </c>
    </row>
    <row r="73" spans="2:25" ht="15.75" customHeight="1" x14ac:dyDescent="0.3">
      <c r="B73" s="770" t="s">
        <v>195</v>
      </c>
      <c r="C73" s="771"/>
      <c r="D73" s="524">
        <v>0.35</v>
      </c>
      <c r="E73" s="524">
        <v>0.63</v>
      </c>
      <c r="F73" s="524">
        <v>1.3</v>
      </c>
      <c r="G73" s="524">
        <v>2.88</v>
      </c>
      <c r="H73" s="524">
        <v>3.4</v>
      </c>
      <c r="I73" s="525" t="s">
        <v>404</v>
      </c>
      <c r="S73" s="451" t="s">
        <v>54</v>
      </c>
      <c r="T73" s="451"/>
      <c r="U73" s="451">
        <v>0.14975536130234138</v>
      </c>
      <c r="V73" s="451">
        <v>0.18719420162792669</v>
      </c>
      <c r="W73" s="451">
        <v>0.22463304195351205</v>
      </c>
      <c r="X73" s="451">
        <v>0.26207188227909739</v>
      </c>
      <c r="Y73" s="451">
        <v>0.29951072260468276</v>
      </c>
    </row>
    <row r="74" spans="2:25" ht="15.75" customHeight="1" x14ac:dyDescent="0.3">
      <c r="B74" s="770" t="s">
        <v>668</v>
      </c>
      <c r="C74" s="771"/>
      <c r="D74" s="524">
        <v>0.28696231432932034</v>
      </c>
      <c r="E74" s="524">
        <v>0.56435693075606652</v>
      </c>
      <c r="F74" s="524">
        <v>0.90441617455756129</v>
      </c>
      <c r="G74" s="524">
        <v>1.2688654983048246</v>
      </c>
      <c r="H74" s="524">
        <v>1.625754925958252</v>
      </c>
      <c r="I74" s="525" t="s">
        <v>669</v>
      </c>
      <c r="S74" s="451"/>
      <c r="T74" s="451"/>
      <c r="U74" s="451"/>
      <c r="V74" s="451"/>
      <c r="W74" s="451"/>
      <c r="X74" s="451"/>
      <c r="Y74" s="451"/>
    </row>
    <row r="75" spans="2:25" ht="15.75" customHeight="1" x14ac:dyDescent="0.3">
      <c r="B75" s="770" t="s">
        <v>55</v>
      </c>
      <c r="C75" s="771"/>
      <c r="D75" s="524">
        <v>0.15</v>
      </c>
      <c r="E75" s="524">
        <v>0.19</v>
      </c>
      <c r="F75" s="524">
        <v>0.22</v>
      </c>
      <c r="G75" s="524">
        <v>0.26</v>
      </c>
      <c r="H75" s="524">
        <v>0.3</v>
      </c>
      <c r="I75" s="525" t="s">
        <v>333</v>
      </c>
      <c r="S75" s="451" t="s">
        <v>195</v>
      </c>
      <c r="T75" s="451"/>
      <c r="U75" s="451">
        <v>0.34624258854033912</v>
      </c>
      <c r="V75" s="451">
        <v>0.63416449134559993</v>
      </c>
      <c r="W75" s="451">
        <v>1.2964681323565146</v>
      </c>
      <c r="X75" s="451">
        <v>2.8776869027198626</v>
      </c>
      <c r="Y75" s="451">
        <v>3.4048640619376549</v>
      </c>
    </row>
    <row r="76" spans="2:25" ht="15.75" customHeight="1" x14ac:dyDescent="0.3">
      <c r="B76" s="770" t="s">
        <v>165</v>
      </c>
      <c r="C76" s="771"/>
      <c r="D76" s="524">
        <v>0.05</v>
      </c>
      <c r="E76" s="524">
        <v>0.06</v>
      </c>
      <c r="F76" s="524">
        <v>0.13</v>
      </c>
      <c r="G76" s="524">
        <v>0.15</v>
      </c>
      <c r="H76" s="524">
        <v>0.17</v>
      </c>
      <c r="I76" s="525" t="s">
        <v>405</v>
      </c>
      <c r="S76" s="451" t="s">
        <v>55</v>
      </c>
      <c r="T76" s="451"/>
      <c r="U76" s="451">
        <v>0.14975536130234138</v>
      </c>
      <c r="V76" s="451">
        <v>0.18719420162792669</v>
      </c>
      <c r="W76" s="451">
        <v>0.22463304195351205</v>
      </c>
      <c r="X76" s="451">
        <v>0.26207188227909739</v>
      </c>
      <c r="Y76" s="451">
        <v>0.29951072260468276</v>
      </c>
    </row>
    <row r="77" spans="2:25" ht="15.75" customHeight="1" x14ac:dyDescent="0.3">
      <c r="B77" s="772" t="s">
        <v>57</v>
      </c>
      <c r="C77" s="773"/>
      <c r="D77" s="524">
        <v>0.04</v>
      </c>
      <c r="E77" s="524">
        <v>0.05</v>
      </c>
      <c r="F77" s="524">
        <v>0.1</v>
      </c>
      <c r="G77" s="524">
        <v>0.11</v>
      </c>
      <c r="H77" s="524">
        <v>0.13</v>
      </c>
      <c r="I77" s="525" t="s">
        <v>405</v>
      </c>
      <c r="S77" s="451" t="s">
        <v>165</v>
      </c>
      <c r="T77" s="451"/>
      <c r="U77" s="451">
        <v>4.8828839094095237E-2</v>
      </c>
      <c r="V77" s="451">
        <v>6.1036048867619055E-2</v>
      </c>
      <c r="W77" s="451">
        <v>0.12721465554673028</v>
      </c>
      <c r="X77" s="451">
        <v>0.148417098137852</v>
      </c>
      <c r="Y77" s="451">
        <v>0.16961954072897373</v>
      </c>
    </row>
    <row r="78" spans="2:25" ht="15.75" customHeight="1" x14ac:dyDescent="0.3">
      <c r="B78" s="770" t="s">
        <v>58</v>
      </c>
      <c r="C78" s="771"/>
      <c r="D78" s="524">
        <v>0.05</v>
      </c>
      <c r="E78" s="524">
        <v>0.06</v>
      </c>
      <c r="F78" s="524">
        <v>7.0000000000000007E-2</v>
      </c>
      <c r="G78" s="524">
        <v>0.08</v>
      </c>
      <c r="H78" s="524">
        <v>0.1</v>
      </c>
      <c r="I78" s="525" t="s">
        <v>413</v>
      </c>
      <c r="S78" s="451" t="s">
        <v>57</v>
      </c>
      <c r="T78" s="451"/>
      <c r="U78" s="451">
        <v>4.1003485800888813E-2</v>
      </c>
      <c r="V78" s="451">
        <v>5.1254357251111014E-2</v>
      </c>
      <c r="W78" s="451">
        <v>9.7556673966789992E-2</v>
      </c>
      <c r="X78" s="451">
        <v>0.11381611962792167</v>
      </c>
      <c r="Y78" s="451">
        <v>0.13007556528905334</v>
      </c>
    </row>
    <row r="79" spans="2:25" ht="15.75" customHeight="1" x14ac:dyDescent="0.3">
      <c r="B79" s="772" t="s">
        <v>59</v>
      </c>
      <c r="C79" s="773"/>
      <c r="D79" s="524">
        <v>0.06</v>
      </c>
      <c r="E79" s="524">
        <v>7.0000000000000007E-2</v>
      </c>
      <c r="F79" s="524">
        <v>0.18</v>
      </c>
      <c r="G79" s="524">
        <v>0.21</v>
      </c>
      <c r="H79" s="524">
        <v>0.24</v>
      </c>
      <c r="I79" s="525" t="s">
        <v>405</v>
      </c>
      <c r="S79" s="451" t="s">
        <v>58</v>
      </c>
      <c r="T79" s="451"/>
      <c r="U79" s="451">
        <v>4.8090381579979975E-2</v>
      </c>
      <c r="V79" s="451">
        <v>6.0112976974974974E-2</v>
      </c>
      <c r="W79" s="451">
        <v>7.2135572369969952E-2</v>
      </c>
      <c r="X79" s="451">
        <v>8.4158167764964945E-2</v>
      </c>
      <c r="Y79" s="451">
        <v>9.6180763159959951E-2</v>
      </c>
    </row>
    <row r="80" spans="2:25" ht="15.75" customHeight="1" x14ac:dyDescent="0.3">
      <c r="B80" s="770" t="s">
        <v>329</v>
      </c>
      <c r="C80" s="771"/>
      <c r="D80" s="524">
        <v>7.0000000000000007E-2</v>
      </c>
      <c r="E80" s="524">
        <v>0.12</v>
      </c>
      <c r="F80" s="524">
        <v>0.15</v>
      </c>
      <c r="G80" s="524">
        <v>0.23</v>
      </c>
      <c r="H80" s="524">
        <v>0.26</v>
      </c>
      <c r="I80" s="525" t="s">
        <v>405</v>
      </c>
      <c r="S80" s="451" t="s">
        <v>59</v>
      </c>
      <c r="T80" s="451"/>
      <c r="U80" s="451">
        <v>5.5638922658708602E-2</v>
      </c>
      <c r="V80" s="451">
        <v>6.9548653323385751E-2</v>
      </c>
      <c r="W80" s="451">
        <v>0.17900063987112114</v>
      </c>
      <c r="X80" s="451">
        <v>0.20883407984964134</v>
      </c>
      <c r="Y80" s="451">
        <v>0.23866751982816153</v>
      </c>
    </row>
    <row r="81" spans="2:25" ht="15.75" customHeight="1" x14ac:dyDescent="0.3">
      <c r="B81" s="772" t="s">
        <v>61</v>
      </c>
      <c r="C81" s="773"/>
      <c r="D81" s="524">
        <v>0.05</v>
      </c>
      <c r="E81" s="524">
        <v>7.0000000000000007E-2</v>
      </c>
      <c r="F81" s="524">
        <v>0.15</v>
      </c>
      <c r="G81" s="524">
        <v>0.17</v>
      </c>
      <c r="H81" s="524">
        <v>0.2</v>
      </c>
      <c r="I81" s="525" t="s">
        <v>405</v>
      </c>
      <c r="S81" s="451" t="s">
        <v>329</v>
      </c>
      <c r="T81" s="451"/>
      <c r="U81" s="451">
        <v>6.8552185747233832E-2</v>
      </c>
      <c r="V81" s="451">
        <v>0.12296494917176243</v>
      </c>
      <c r="W81" s="451">
        <v>0.14755793900611491</v>
      </c>
      <c r="X81" s="451">
        <v>0.23083478214715636</v>
      </c>
      <c r="Y81" s="451">
        <v>0.26381117959675016</v>
      </c>
    </row>
    <row r="82" spans="2:25" ht="15.75" customHeight="1" x14ac:dyDescent="0.3">
      <c r="B82" s="772" t="s">
        <v>62</v>
      </c>
      <c r="C82" s="773"/>
      <c r="D82" s="524">
        <v>7.0000000000000007E-2</v>
      </c>
      <c r="E82" s="524">
        <v>0.16</v>
      </c>
      <c r="F82" s="524">
        <v>0.19</v>
      </c>
      <c r="G82" s="524">
        <v>0.22</v>
      </c>
      <c r="H82" s="524">
        <v>0.34</v>
      </c>
      <c r="I82" s="525" t="s">
        <v>405</v>
      </c>
      <c r="S82" s="451" t="s">
        <v>61</v>
      </c>
      <c r="T82" s="451"/>
      <c r="U82" s="451">
        <v>5.3290218724743897E-2</v>
      </c>
      <c r="V82" s="451">
        <v>6.6612773405929887E-2</v>
      </c>
      <c r="W82" s="451">
        <v>0.14793193211471187</v>
      </c>
      <c r="X82" s="451">
        <v>0.17258725413383053</v>
      </c>
      <c r="Y82" s="451">
        <v>0.19724257615294916</v>
      </c>
    </row>
    <row r="83" spans="2:25" ht="15.75" customHeight="1" x14ac:dyDescent="0.3">
      <c r="B83" s="772" t="s">
        <v>642</v>
      </c>
      <c r="C83" s="773"/>
      <c r="D83" s="524">
        <v>0.12749051111262677</v>
      </c>
      <c r="E83" s="524">
        <v>0.21779530685229784</v>
      </c>
      <c r="F83" s="524">
        <v>0.3286848580184808</v>
      </c>
      <c r="G83" s="524">
        <v>0.45751573519543265</v>
      </c>
      <c r="H83" s="524">
        <v>0.60190920699628003</v>
      </c>
      <c r="I83" s="525" t="s">
        <v>657</v>
      </c>
      <c r="S83" s="451"/>
      <c r="T83" s="451"/>
      <c r="U83" s="451"/>
      <c r="V83" s="451"/>
      <c r="W83" s="451"/>
      <c r="X83" s="451"/>
      <c r="Y83" s="451"/>
    </row>
    <row r="84" spans="2:25" ht="15.75" customHeight="1" x14ac:dyDescent="0.3">
      <c r="B84" s="770" t="s">
        <v>98</v>
      </c>
      <c r="C84" s="771"/>
      <c r="D84" s="524">
        <v>7.0000000000000007E-2</v>
      </c>
      <c r="E84" s="524">
        <v>0.18</v>
      </c>
      <c r="F84" s="524">
        <v>0.22</v>
      </c>
      <c r="G84" s="524">
        <v>0.35</v>
      </c>
      <c r="H84" s="524">
        <v>0.4</v>
      </c>
      <c r="I84" s="525" t="s">
        <v>405</v>
      </c>
      <c r="S84" s="451" t="s">
        <v>62</v>
      </c>
      <c r="T84" s="451"/>
      <c r="U84" s="451">
        <v>7.0712917709178133E-2</v>
      </c>
      <c r="V84" s="451">
        <v>0.16039138980188405</v>
      </c>
      <c r="W84" s="451">
        <v>0.1924696677622609</v>
      </c>
      <c r="X84" s="451">
        <v>0.2245479457226377</v>
      </c>
      <c r="Y84" s="451">
        <v>0.3391470055560048</v>
      </c>
    </row>
    <row r="85" spans="2:25" ht="15.75" customHeight="1" x14ac:dyDescent="0.3">
      <c r="B85" s="770" t="s">
        <v>104</v>
      </c>
      <c r="C85" s="771"/>
      <c r="D85" s="524">
        <v>7.0000000000000007E-2</v>
      </c>
      <c r="E85" s="524">
        <v>0.09</v>
      </c>
      <c r="F85" s="524">
        <v>0.11</v>
      </c>
      <c r="G85" s="524">
        <v>0.13</v>
      </c>
      <c r="H85" s="524">
        <v>0.15</v>
      </c>
      <c r="I85" s="525" t="s">
        <v>413</v>
      </c>
      <c r="S85" s="451" t="s">
        <v>98</v>
      </c>
      <c r="T85" s="451"/>
      <c r="U85" s="451">
        <v>7.2189347795831374E-2</v>
      </c>
      <c r="V85" s="451">
        <v>0.18461714815369659</v>
      </c>
      <c r="W85" s="451">
        <v>0.22154057778443589</v>
      </c>
      <c r="X85" s="451">
        <v>0.34725191193922511</v>
      </c>
      <c r="Y85" s="451">
        <v>0.39685932793054296</v>
      </c>
    </row>
    <row r="86" spans="2:25" ht="15.75" customHeight="1" x14ac:dyDescent="0.3">
      <c r="B86" s="770" t="s">
        <v>63</v>
      </c>
      <c r="C86" s="771"/>
      <c r="D86" s="524">
        <v>0.04</v>
      </c>
      <c r="E86" s="524">
        <v>0.11</v>
      </c>
      <c r="F86" s="524">
        <v>0.21</v>
      </c>
      <c r="G86" s="524">
        <v>0.35</v>
      </c>
      <c r="H86" s="524">
        <v>0.4</v>
      </c>
      <c r="I86" s="525" t="s">
        <v>333</v>
      </c>
      <c r="S86" s="451" t="s">
        <v>104</v>
      </c>
      <c r="T86" s="451"/>
      <c r="U86" s="451">
        <v>7.411115835844527E-2</v>
      </c>
      <c r="V86" s="451">
        <v>9.2638947948056591E-2</v>
      </c>
      <c r="W86" s="451">
        <v>0.11116673753766791</v>
      </c>
      <c r="X86" s="451">
        <v>0.12969452712727922</v>
      </c>
      <c r="Y86" s="451">
        <v>0.14822231671689054</v>
      </c>
    </row>
    <row r="87" spans="2:25" ht="15.75" customHeight="1" x14ac:dyDescent="0.3">
      <c r="B87" s="770" t="s">
        <v>64</v>
      </c>
      <c r="C87" s="771"/>
      <c r="D87" s="524">
        <v>0.06</v>
      </c>
      <c r="E87" s="524">
        <v>0.16</v>
      </c>
      <c r="F87" s="524">
        <v>0.19</v>
      </c>
      <c r="G87" s="524">
        <v>0.34</v>
      </c>
      <c r="H87" s="524">
        <v>0.39</v>
      </c>
      <c r="I87" s="525" t="s">
        <v>405</v>
      </c>
      <c r="S87" s="451" t="s">
        <v>63</v>
      </c>
      <c r="T87" s="451"/>
      <c r="U87" s="451">
        <v>4.2905184381875593E-2</v>
      </c>
      <c r="V87" s="451">
        <v>0.11203292161465764</v>
      </c>
      <c r="W87" s="451">
        <v>0.20516585167863827</v>
      </c>
      <c r="X87" s="451">
        <v>0.34790001540782683</v>
      </c>
      <c r="Y87" s="451">
        <v>0.39760001760894487</v>
      </c>
    </row>
    <row r="88" spans="2:25" ht="15.75" customHeight="1" x14ac:dyDescent="0.3">
      <c r="B88" s="770" t="s">
        <v>196</v>
      </c>
      <c r="C88" s="771"/>
      <c r="D88" s="524">
        <v>0.31</v>
      </c>
      <c r="E88" s="524">
        <v>0.56999999999999995</v>
      </c>
      <c r="F88" s="524">
        <v>0.9</v>
      </c>
      <c r="G88" s="524">
        <v>1.24</v>
      </c>
      <c r="H88" s="524">
        <v>1.37</v>
      </c>
      <c r="I88" s="525" t="s">
        <v>405</v>
      </c>
      <c r="S88" s="451" t="s">
        <v>64</v>
      </c>
      <c r="T88" s="451"/>
      <c r="U88" s="451">
        <v>6.0069243142107612E-2</v>
      </c>
      <c r="V88" s="451">
        <v>0.15928794784284833</v>
      </c>
      <c r="W88" s="451">
        <v>0.19114553741141802</v>
      </c>
      <c r="X88" s="451">
        <v>0.34409212823611068</v>
      </c>
      <c r="Y88" s="451">
        <v>0.39324814655555496</v>
      </c>
    </row>
    <row r="89" spans="2:25" ht="15.75" customHeight="1" x14ac:dyDescent="0.3">
      <c r="B89" s="770" t="s">
        <v>67</v>
      </c>
      <c r="C89" s="771"/>
      <c r="D89" s="524">
        <v>0.17</v>
      </c>
      <c r="E89" s="524">
        <v>0.21</v>
      </c>
      <c r="F89" s="524">
        <v>0.25</v>
      </c>
      <c r="G89" s="524">
        <v>0.28999999999999998</v>
      </c>
      <c r="H89" s="524">
        <v>0.33</v>
      </c>
      <c r="I89" s="525" t="s">
        <v>405</v>
      </c>
      <c r="S89" s="451" t="s">
        <v>196</v>
      </c>
      <c r="T89" s="451"/>
      <c r="U89" s="451">
        <v>0.3086707442568718</v>
      </c>
      <c r="V89" s="451">
        <v>0.57498705887181834</v>
      </c>
      <c r="W89" s="451">
        <v>0.89565940633103525</v>
      </c>
      <c r="X89" s="451">
        <v>1.2444439508529392</v>
      </c>
      <c r="Y89" s="451">
        <v>1.3659285306119766</v>
      </c>
    </row>
    <row r="90" spans="2:25" ht="15.75" customHeight="1" x14ac:dyDescent="0.3">
      <c r="B90" s="770" t="s">
        <v>197</v>
      </c>
      <c r="C90" s="771"/>
      <c r="D90" s="524">
        <v>0.03</v>
      </c>
      <c r="E90" s="524">
        <v>7.0000000000000007E-2</v>
      </c>
      <c r="F90" s="524">
        <v>0.08</v>
      </c>
      <c r="G90" s="524">
        <v>0.14000000000000001</v>
      </c>
      <c r="H90" s="524">
        <v>0.16</v>
      </c>
      <c r="I90" s="525" t="s">
        <v>405</v>
      </c>
      <c r="S90" s="451" t="s">
        <v>67</v>
      </c>
      <c r="T90" s="451"/>
      <c r="U90" s="451">
        <v>0.16514543481629892</v>
      </c>
      <c r="V90" s="451">
        <v>0.20643179352037366</v>
      </c>
      <c r="W90" s="451">
        <v>0.24771815222444837</v>
      </c>
      <c r="X90" s="451">
        <v>0.28900451092852308</v>
      </c>
      <c r="Y90" s="451">
        <v>0.33029086963259785</v>
      </c>
    </row>
    <row r="91" spans="2:25" ht="15.75" customHeight="1" x14ac:dyDescent="0.3">
      <c r="B91" s="770" t="s">
        <v>69</v>
      </c>
      <c r="C91" s="771"/>
      <c r="D91" s="524">
        <v>0.03</v>
      </c>
      <c r="E91" s="524">
        <v>0.05</v>
      </c>
      <c r="F91" s="524">
        <v>0.06</v>
      </c>
      <c r="G91" s="524">
        <v>0.12</v>
      </c>
      <c r="H91" s="524">
        <v>0.15</v>
      </c>
      <c r="I91" s="525" t="s">
        <v>333</v>
      </c>
      <c r="S91" s="451" t="s">
        <v>197</v>
      </c>
      <c r="T91" s="451"/>
      <c r="U91" s="451">
        <v>2.8664770594541707E-2</v>
      </c>
      <c r="V91" s="451">
        <v>6.6618224487514713E-2</v>
      </c>
      <c r="W91" s="451">
        <v>7.9941869385017642E-2</v>
      </c>
      <c r="X91" s="451">
        <v>0.14012313740352317</v>
      </c>
      <c r="Y91" s="451">
        <v>0.16014072846116933</v>
      </c>
    </row>
    <row r="92" spans="2:25" ht="15.75" customHeight="1" x14ac:dyDescent="0.3">
      <c r="B92" s="770" t="s">
        <v>70</v>
      </c>
      <c r="C92" s="771"/>
      <c r="D92" s="524">
        <v>0.03</v>
      </c>
      <c r="E92" s="524">
        <v>7.0000000000000007E-2</v>
      </c>
      <c r="F92" s="524">
        <v>0.08</v>
      </c>
      <c r="G92" s="524">
        <v>0.14000000000000001</v>
      </c>
      <c r="H92" s="524">
        <v>0.16</v>
      </c>
      <c r="I92" s="525" t="s">
        <v>333</v>
      </c>
      <c r="S92" s="451" t="s">
        <v>69</v>
      </c>
      <c r="T92" s="451"/>
      <c r="U92" s="451">
        <v>3.1829804580021943E-2</v>
      </c>
      <c r="V92" s="451">
        <v>4.8315700463393098E-2</v>
      </c>
      <c r="W92" s="451">
        <v>5.797884055607172E-2</v>
      </c>
      <c r="X92" s="451">
        <v>0.11616913219309503</v>
      </c>
      <c r="Y92" s="451">
        <v>0.14741916710201577</v>
      </c>
    </row>
    <row r="93" spans="2:25" ht="15.75" customHeight="1" x14ac:dyDescent="0.3">
      <c r="B93" s="770" t="s">
        <v>71</v>
      </c>
      <c r="C93" s="771"/>
      <c r="D93" s="524">
        <v>0.01</v>
      </c>
      <c r="E93" s="524">
        <v>0.01</v>
      </c>
      <c r="F93" s="524">
        <v>0.02</v>
      </c>
      <c r="G93" s="524">
        <v>0.02</v>
      </c>
      <c r="H93" s="524">
        <v>0.02</v>
      </c>
      <c r="I93" s="525" t="s">
        <v>333</v>
      </c>
      <c r="S93" s="451" t="s">
        <v>70</v>
      </c>
      <c r="T93" s="451"/>
      <c r="U93" s="451">
        <v>2.8664770594541707E-2</v>
      </c>
      <c r="V93" s="451">
        <v>6.6618224487514713E-2</v>
      </c>
      <c r="W93" s="451">
        <v>7.9941869385017642E-2</v>
      </c>
      <c r="X93" s="451">
        <v>0.14012313740352317</v>
      </c>
      <c r="Y93" s="451">
        <v>0.16014072846116933</v>
      </c>
    </row>
    <row r="94" spans="2:25" ht="15.75" customHeight="1" x14ac:dyDescent="0.3">
      <c r="B94" s="770" t="s">
        <v>72</v>
      </c>
      <c r="C94" s="771"/>
      <c r="D94" s="524">
        <v>0.05</v>
      </c>
      <c r="E94" s="524">
        <v>0.06</v>
      </c>
      <c r="F94" s="524">
        <v>0.09</v>
      </c>
      <c r="G94" s="524">
        <v>0.12</v>
      </c>
      <c r="H94" s="524">
        <v>0.13</v>
      </c>
      <c r="I94" s="525" t="s">
        <v>405</v>
      </c>
      <c r="S94" s="451" t="s">
        <v>71</v>
      </c>
      <c r="T94" s="451"/>
      <c r="U94" s="451">
        <v>1.138475443544619E-2</v>
      </c>
      <c r="V94" s="451">
        <v>1.4230943044307736E-2</v>
      </c>
      <c r="W94" s="451">
        <v>1.7077131653169285E-2</v>
      </c>
      <c r="X94" s="451">
        <v>1.9923320262030829E-2</v>
      </c>
      <c r="Y94" s="451">
        <v>2.276950887089238E-2</v>
      </c>
    </row>
    <row r="95" spans="2:25" ht="15.75" customHeight="1" x14ac:dyDescent="0.3">
      <c r="B95" s="772" t="s">
        <v>73</v>
      </c>
      <c r="C95" s="773"/>
      <c r="D95" s="524">
        <v>0.18</v>
      </c>
      <c r="E95" s="524">
        <v>0.23</v>
      </c>
      <c r="F95" s="524">
        <v>0.27</v>
      </c>
      <c r="G95" s="524">
        <v>0.5</v>
      </c>
      <c r="H95" s="524">
        <v>0.57999999999999996</v>
      </c>
      <c r="I95" s="525" t="s">
        <v>405</v>
      </c>
      <c r="S95" s="451" t="s">
        <v>72</v>
      </c>
      <c r="T95" s="451"/>
      <c r="U95" s="451">
        <v>5.1766168756151212E-2</v>
      </c>
      <c r="V95" s="451">
        <v>6.3233838338349224E-2</v>
      </c>
      <c r="W95" s="451">
        <v>8.7489025596783121E-2</v>
      </c>
      <c r="X95" s="451">
        <v>0.1165445654608588</v>
      </c>
      <c r="Y95" s="451">
        <v>0.13319378909812432</v>
      </c>
    </row>
    <row r="96" spans="2:25" ht="15.75" customHeight="1" x14ac:dyDescent="0.3">
      <c r="S96" s="451" t="s">
        <v>73</v>
      </c>
      <c r="T96" s="451"/>
      <c r="U96" s="451">
        <v>0.18032959999999998</v>
      </c>
      <c r="V96" s="451">
        <v>0.225412</v>
      </c>
      <c r="W96" s="451">
        <v>0.27049440000000002</v>
      </c>
      <c r="X96" s="451">
        <v>0.50376480000000001</v>
      </c>
      <c r="Y96" s="451">
        <v>0.5757312</v>
      </c>
    </row>
    <row r="98" spans="1:19" ht="15.75" customHeight="1" x14ac:dyDescent="0.3">
      <c r="B98" s="439" t="s">
        <v>330</v>
      </c>
      <c r="C98" s="440" t="s">
        <v>324</v>
      </c>
      <c r="D98" s="440"/>
      <c r="E98" s="440"/>
      <c r="F98" s="440"/>
      <c r="G98" s="440"/>
      <c r="H98" s="440"/>
      <c r="I98" s="440"/>
      <c r="J98" s="440"/>
    </row>
    <row r="99" spans="1:19" ht="15.75" customHeight="1" x14ac:dyDescent="0.3">
      <c r="B99" s="439" t="s">
        <v>331</v>
      </c>
      <c r="C99" s="781" t="s">
        <v>323</v>
      </c>
      <c r="D99" s="781"/>
      <c r="E99" s="781"/>
      <c r="F99" s="781"/>
      <c r="G99" s="781"/>
      <c r="H99" s="781"/>
      <c r="I99" s="781"/>
      <c r="J99" s="781"/>
    </row>
    <row r="100" spans="1:19" ht="15.75" customHeight="1" x14ac:dyDescent="0.3">
      <c r="B100" s="439" t="s">
        <v>332</v>
      </c>
      <c r="C100" s="782" t="s">
        <v>325</v>
      </c>
      <c r="D100" s="780"/>
      <c r="E100" s="780"/>
      <c r="F100" s="780"/>
      <c r="G100" s="780"/>
      <c r="H100" s="780"/>
      <c r="I100" s="780"/>
      <c r="J100" s="780"/>
    </row>
    <row r="101" spans="1:19" ht="15.75" customHeight="1" x14ac:dyDescent="0.3">
      <c r="B101" s="439" t="s">
        <v>407</v>
      </c>
      <c r="C101" s="780" t="s">
        <v>448</v>
      </c>
      <c r="D101" s="780"/>
      <c r="E101" s="780"/>
      <c r="F101" s="780"/>
      <c r="G101" s="780"/>
      <c r="H101" s="780"/>
      <c r="I101" s="780"/>
      <c r="J101" s="780"/>
    </row>
    <row r="102" spans="1:19" ht="15.75" customHeight="1" x14ac:dyDescent="0.3">
      <c r="A102" s="441"/>
      <c r="B102" s="442" t="s">
        <v>497</v>
      </c>
      <c r="C102" s="515" t="s">
        <v>647</v>
      </c>
      <c r="D102" s="440"/>
      <c r="E102" s="440"/>
      <c r="F102" s="440"/>
      <c r="G102" s="440"/>
      <c r="H102" s="440"/>
      <c r="I102" s="440"/>
      <c r="J102" s="440"/>
    </row>
    <row r="103" spans="1:19" ht="15.75" customHeight="1" x14ac:dyDescent="0.3">
      <c r="A103" s="441"/>
      <c r="B103" s="442" t="s">
        <v>498</v>
      </c>
      <c r="C103" s="443" t="s">
        <v>659</v>
      </c>
      <c r="D103" s="440"/>
      <c r="E103" s="440"/>
      <c r="F103" s="440"/>
      <c r="G103" s="440"/>
      <c r="H103" s="440"/>
      <c r="I103" s="440"/>
      <c r="J103" s="440"/>
    </row>
    <row r="104" spans="1:19" ht="15.75" customHeight="1" x14ac:dyDescent="0.3">
      <c r="A104" s="441"/>
      <c r="B104" s="442" t="s">
        <v>499</v>
      </c>
      <c r="C104" s="440" t="s">
        <v>501</v>
      </c>
      <c r="D104" s="440"/>
      <c r="E104" s="440"/>
      <c r="F104" s="440"/>
      <c r="G104" s="440"/>
      <c r="H104" s="440"/>
      <c r="I104" s="440"/>
      <c r="J104" s="440"/>
    </row>
    <row r="105" spans="1:19" ht="15.75" customHeight="1" x14ac:dyDescent="0.3">
      <c r="A105" s="441"/>
      <c r="B105" s="442" t="s">
        <v>500</v>
      </c>
      <c r="C105" s="443" t="s">
        <v>503</v>
      </c>
      <c r="D105" s="440"/>
      <c r="E105" s="440"/>
      <c r="F105" s="440"/>
      <c r="G105" s="440"/>
      <c r="H105" s="440"/>
      <c r="I105" s="440"/>
      <c r="J105" s="440"/>
    </row>
    <row r="106" spans="1:19" ht="15.75" customHeight="1" x14ac:dyDescent="0.3">
      <c r="A106" s="441"/>
      <c r="B106" s="442" t="s">
        <v>502</v>
      </c>
      <c r="C106" s="443" t="s">
        <v>515</v>
      </c>
      <c r="D106" s="440"/>
      <c r="E106" s="440"/>
      <c r="F106" s="440"/>
      <c r="G106" s="440"/>
      <c r="H106" s="440"/>
      <c r="I106" s="440"/>
      <c r="J106" s="440"/>
    </row>
    <row r="107" spans="1:19" ht="15.75" customHeight="1" x14ac:dyDescent="0.3">
      <c r="A107" s="441"/>
      <c r="B107" s="442" t="s">
        <v>643</v>
      </c>
      <c r="C107" s="443" t="s">
        <v>660</v>
      </c>
      <c r="D107" s="514"/>
      <c r="E107" s="514"/>
      <c r="F107" s="514"/>
      <c r="G107" s="514"/>
      <c r="H107" s="514"/>
      <c r="I107" s="514"/>
      <c r="J107" s="514"/>
    </row>
    <row r="108" spans="1:19" ht="15.75" customHeight="1" x14ac:dyDescent="0.3">
      <c r="A108" s="441"/>
      <c r="B108" s="442" t="s">
        <v>644</v>
      </c>
      <c r="C108" s="443" t="s">
        <v>504</v>
      </c>
      <c r="D108" s="515"/>
      <c r="E108" s="515"/>
      <c r="F108" s="515"/>
      <c r="G108" s="515"/>
      <c r="H108" s="515"/>
      <c r="I108" s="515"/>
      <c r="J108" s="515"/>
    </row>
    <row r="109" spans="1:19" ht="15.75" customHeight="1" x14ac:dyDescent="0.3">
      <c r="A109" s="441"/>
      <c r="B109" s="442" t="s">
        <v>645</v>
      </c>
      <c r="C109" s="523" t="s">
        <v>649</v>
      </c>
      <c r="D109" s="523"/>
      <c r="E109" s="523"/>
      <c r="F109" s="523"/>
      <c r="G109" s="523"/>
      <c r="H109" s="523"/>
      <c r="I109" s="523"/>
      <c r="J109" s="523"/>
      <c r="K109" s="444"/>
      <c r="L109" s="444"/>
      <c r="M109" s="444"/>
      <c r="N109" s="444"/>
      <c r="O109" s="444"/>
      <c r="P109" s="444"/>
      <c r="Q109" s="444"/>
      <c r="R109" s="444"/>
      <c r="S109" s="444"/>
    </row>
    <row r="110" spans="1:19" ht="15.75" customHeight="1" x14ac:dyDescent="0.3">
      <c r="A110" s="441"/>
      <c r="B110" s="442" t="s">
        <v>646</v>
      </c>
      <c r="C110" s="526" t="s">
        <v>651</v>
      </c>
      <c r="D110" s="523"/>
      <c r="E110" s="523"/>
      <c r="F110" s="523"/>
      <c r="G110" s="523"/>
      <c r="H110" s="523"/>
      <c r="I110" s="523"/>
      <c r="J110" s="523"/>
      <c r="K110" s="444"/>
      <c r="L110" s="444"/>
      <c r="M110" s="444"/>
      <c r="N110" s="444"/>
      <c r="O110" s="444"/>
      <c r="P110" s="444"/>
      <c r="Q110" s="444"/>
      <c r="R110" s="444"/>
      <c r="S110" s="444"/>
    </row>
    <row r="111" spans="1:19" ht="15.75" customHeight="1" x14ac:dyDescent="0.3">
      <c r="A111" s="441"/>
      <c r="B111" s="442" t="s">
        <v>648</v>
      </c>
      <c r="C111" s="523" t="s">
        <v>650</v>
      </c>
      <c r="D111" s="523"/>
      <c r="E111" s="523"/>
      <c r="F111" s="523"/>
      <c r="G111" s="523"/>
      <c r="H111" s="523"/>
      <c r="I111" s="523"/>
      <c r="J111" s="523"/>
      <c r="K111" s="444"/>
      <c r="L111" s="444"/>
      <c r="M111" s="444"/>
      <c r="N111" s="444"/>
      <c r="O111" s="444"/>
      <c r="P111" s="444"/>
      <c r="Q111" s="444"/>
      <c r="R111" s="444"/>
      <c r="S111" s="444"/>
    </row>
    <row r="112" spans="1:19" ht="15.75" customHeight="1" x14ac:dyDescent="0.3">
      <c r="A112" s="441"/>
      <c r="B112" s="442"/>
      <c r="D112" s="515"/>
      <c r="E112" s="515"/>
      <c r="F112" s="515"/>
      <c r="G112" s="515"/>
      <c r="H112" s="515"/>
      <c r="I112" s="515"/>
      <c r="J112" s="515"/>
    </row>
    <row r="113" spans="1:11" ht="15.75" customHeight="1" x14ac:dyDescent="0.3">
      <c r="A113" s="451"/>
      <c r="B113" s="527"/>
      <c r="C113" s="528"/>
      <c r="D113" s="528"/>
      <c r="E113" s="528"/>
      <c r="F113" s="528"/>
      <c r="G113" s="515"/>
      <c r="H113" s="515"/>
      <c r="I113" s="515"/>
      <c r="J113" s="515"/>
    </row>
    <row r="114" spans="1:11" ht="15.75" customHeight="1" x14ac:dyDescent="0.3">
      <c r="A114" s="451"/>
      <c r="B114" s="451"/>
      <c r="C114" s="529" t="s">
        <v>13</v>
      </c>
      <c r="D114" s="530">
        <v>0.01</v>
      </c>
      <c r="E114" s="531"/>
      <c r="F114" s="531"/>
      <c r="G114" s="446"/>
      <c r="H114" s="444"/>
      <c r="I114" s="444"/>
      <c r="J114" s="444"/>
    </row>
    <row r="115" spans="1:11" ht="15.75" customHeight="1" x14ac:dyDescent="0.3">
      <c r="A115" s="451"/>
      <c r="B115" s="451"/>
      <c r="C115" s="529" t="s">
        <v>189</v>
      </c>
      <c r="D115" s="530">
        <v>0.02</v>
      </c>
      <c r="E115" s="531"/>
      <c r="F115" s="531"/>
      <c r="G115" s="446"/>
      <c r="H115" s="444"/>
      <c r="I115" s="444"/>
      <c r="J115" s="444"/>
      <c r="K115" s="444"/>
    </row>
    <row r="116" spans="1:11" ht="15.75" customHeight="1" x14ac:dyDescent="0.3">
      <c r="A116" s="451"/>
      <c r="B116" s="451"/>
      <c r="C116" s="529" t="s">
        <v>105</v>
      </c>
      <c r="D116" s="530">
        <v>0.02</v>
      </c>
      <c r="E116" s="531"/>
      <c r="F116" s="531"/>
      <c r="G116" s="446"/>
      <c r="H116" s="444"/>
      <c r="I116" s="444"/>
      <c r="J116" s="444"/>
      <c r="K116" s="444"/>
    </row>
    <row r="117" spans="1:11" ht="15.75" customHeight="1" x14ac:dyDescent="0.3">
      <c r="A117" s="451"/>
      <c r="B117" s="451"/>
      <c r="C117" s="531" t="s">
        <v>71</v>
      </c>
      <c r="D117" s="530">
        <v>0.02</v>
      </c>
      <c r="E117" s="531"/>
      <c r="F117" s="531"/>
      <c r="G117" s="446"/>
      <c r="H117" s="444"/>
      <c r="I117" s="444"/>
      <c r="J117" s="444"/>
      <c r="K117" s="444"/>
    </row>
    <row r="118" spans="1:11" ht="15.75" customHeight="1" x14ac:dyDescent="0.3">
      <c r="A118" s="451"/>
      <c r="B118" s="451"/>
      <c r="C118" s="529" t="s">
        <v>24</v>
      </c>
      <c r="D118" s="530">
        <v>0.03</v>
      </c>
      <c r="E118" s="531"/>
      <c r="F118" s="531"/>
      <c r="G118" s="446"/>
      <c r="H118" s="444"/>
      <c r="I118" s="444"/>
      <c r="J118" s="444"/>
      <c r="K118" s="444"/>
    </row>
    <row r="119" spans="1:11" ht="15.75" customHeight="1" x14ac:dyDescent="0.3">
      <c r="A119" s="451"/>
      <c r="B119" s="451"/>
      <c r="C119" s="529" t="s">
        <v>190</v>
      </c>
      <c r="D119" s="530">
        <v>0.03</v>
      </c>
      <c r="E119" s="531"/>
      <c r="F119" s="531"/>
      <c r="G119" s="446"/>
      <c r="H119" s="444"/>
      <c r="I119" s="444"/>
      <c r="J119" s="444"/>
      <c r="K119" s="444"/>
    </row>
    <row r="120" spans="1:11" ht="15.75" customHeight="1" x14ac:dyDescent="0.3">
      <c r="A120" s="451"/>
      <c r="B120" s="451"/>
      <c r="C120" s="529" t="s">
        <v>135</v>
      </c>
      <c r="D120" s="530">
        <v>0.03</v>
      </c>
      <c r="E120" s="531"/>
      <c r="F120" s="531"/>
      <c r="G120" s="446"/>
      <c r="H120" s="444"/>
      <c r="I120" s="444"/>
      <c r="J120" s="444"/>
      <c r="K120" s="444"/>
    </row>
    <row r="121" spans="1:11" ht="15.75" customHeight="1" x14ac:dyDescent="0.3">
      <c r="A121" s="451"/>
      <c r="B121" s="451"/>
      <c r="C121" s="529" t="s">
        <v>25</v>
      </c>
      <c r="D121" s="530">
        <v>0.05</v>
      </c>
      <c r="E121" s="531"/>
      <c r="F121" s="531"/>
      <c r="G121" s="446"/>
      <c r="H121" s="444"/>
      <c r="I121" s="444"/>
      <c r="J121" s="444"/>
      <c r="K121" s="444"/>
    </row>
    <row r="122" spans="1:11" ht="15.75" customHeight="1" x14ac:dyDescent="0.3">
      <c r="A122" s="451"/>
      <c r="B122" s="451"/>
      <c r="C122" s="529" t="s">
        <v>26</v>
      </c>
      <c r="D122" s="530">
        <v>0.05</v>
      </c>
      <c r="E122" s="531"/>
      <c r="F122" s="531"/>
      <c r="G122" s="446"/>
      <c r="H122" s="444"/>
      <c r="I122" s="444"/>
      <c r="J122" s="444"/>
      <c r="K122" s="444"/>
    </row>
    <row r="123" spans="1:11" ht="15.75" customHeight="1" x14ac:dyDescent="0.3">
      <c r="A123" s="451"/>
      <c r="B123" s="451"/>
      <c r="C123" s="529" t="s">
        <v>276</v>
      </c>
      <c r="D123" s="530">
        <v>0.05</v>
      </c>
      <c r="E123" s="531"/>
      <c r="F123" s="531"/>
      <c r="G123" s="446"/>
      <c r="H123" s="444"/>
      <c r="I123" s="444"/>
      <c r="J123" s="444"/>
      <c r="K123" s="444"/>
    </row>
    <row r="124" spans="1:11" ht="15.75" customHeight="1" x14ac:dyDescent="0.3">
      <c r="A124" s="451"/>
      <c r="B124" s="451"/>
      <c r="C124" s="529" t="s">
        <v>292</v>
      </c>
      <c r="D124" s="530">
        <v>0.05</v>
      </c>
      <c r="E124" s="531"/>
      <c r="F124" s="531"/>
      <c r="G124" s="446"/>
      <c r="H124" s="444"/>
      <c r="I124" s="444"/>
      <c r="J124" s="444"/>
      <c r="K124" s="444"/>
    </row>
    <row r="125" spans="1:11" ht="15.75" customHeight="1" x14ac:dyDescent="0.3">
      <c r="A125" s="451"/>
      <c r="B125" s="451"/>
      <c r="C125" s="529" t="s">
        <v>18</v>
      </c>
      <c r="D125" s="530">
        <v>0.06</v>
      </c>
      <c r="E125" s="531"/>
      <c r="F125" s="531"/>
      <c r="G125" s="446"/>
      <c r="H125" s="444"/>
      <c r="I125" s="444"/>
      <c r="J125" s="444"/>
      <c r="K125" s="444"/>
    </row>
    <row r="126" spans="1:11" ht="15.75" customHeight="1" x14ac:dyDescent="0.3">
      <c r="A126" s="451"/>
      <c r="B126" s="451"/>
      <c r="C126" s="529" t="s">
        <v>19</v>
      </c>
      <c r="D126" s="530">
        <v>0.06</v>
      </c>
      <c r="E126" s="531"/>
      <c r="F126" s="531"/>
      <c r="G126" s="446"/>
      <c r="H126" s="444"/>
      <c r="I126" s="444"/>
      <c r="J126" s="444"/>
      <c r="K126" s="444"/>
    </row>
    <row r="127" spans="1:11" ht="15.75" customHeight="1" x14ac:dyDescent="0.3">
      <c r="A127" s="451"/>
      <c r="B127" s="451"/>
      <c r="C127" s="529" t="s">
        <v>20</v>
      </c>
      <c r="D127" s="530">
        <v>0.06</v>
      </c>
      <c r="E127" s="531"/>
      <c r="F127" s="531"/>
      <c r="G127" s="446"/>
      <c r="H127" s="444"/>
      <c r="I127" s="444"/>
      <c r="J127" s="444"/>
      <c r="K127" s="444"/>
    </row>
    <row r="128" spans="1:11" ht="15.75" customHeight="1" x14ac:dyDescent="0.3">
      <c r="A128" s="451"/>
      <c r="B128" s="451"/>
      <c r="C128" s="529" t="s">
        <v>279</v>
      </c>
      <c r="D128" s="530">
        <v>0.06</v>
      </c>
      <c r="E128" s="531"/>
      <c r="F128" s="531"/>
      <c r="G128" s="446"/>
      <c r="H128" s="444"/>
      <c r="I128" s="444"/>
      <c r="J128" s="444"/>
      <c r="K128" s="444"/>
    </row>
    <row r="129" spans="1:11" ht="15.75" customHeight="1" x14ac:dyDescent="0.3">
      <c r="A129" s="451"/>
      <c r="B129" s="451"/>
      <c r="C129" s="529" t="s">
        <v>382</v>
      </c>
      <c r="D129" s="530">
        <v>0.06</v>
      </c>
      <c r="E129" s="531"/>
      <c r="F129" s="531"/>
      <c r="G129" s="446"/>
      <c r="H129" s="444"/>
      <c r="I129" s="444"/>
      <c r="J129" s="444"/>
      <c r="K129" s="444"/>
    </row>
    <row r="130" spans="1:11" ht="15.75" customHeight="1" x14ac:dyDescent="0.3">
      <c r="A130" s="451"/>
      <c r="B130" s="451"/>
      <c r="C130" s="529" t="s">
        <v>69</v>
      </c>
      <c r="D130" s="530">
        <v>0.06</v>
      </c>
      <c r="E130" s="531"/>
      <c r="F130" s="531"/>
      <c r="G130" s="446"/>
      <c r="H130" s="444"/>
      <c r="I130" s="444"/>
      <c r="J130" s="444"/>
      <c r="K130" s="444"/>
    </row>
    <row r="131" spans="1:11" ht="15.75" customHeight="1" x14ac:dyDescent="0.3">
      <c r="A131" s="451"/>
      <c r="B131" s="451"/>
      <c r="C131" s="529" t="s">
        <v>278</v>
      </c>
      <c r="D131" s="530">
        <v>7.0000000000000007E-2</v>
      </c>
      <c r="E131" s="531"/>
      <c r="F131" s="531"/>
      <c r="G131" s="446"/>
      <c r="H131" s="444"/>
      <c r="I131" s="444"/>
      <c r="J131" s="444"/>
      <c r="K131" s="444"/>
    </row>
    <row r="132" spans="1:11" ht="15.75" customHeight="1" x14ac:dyDescent="0.3">
      <c r="A132" s="451"/>
      <c r="B132" s="451"/>
      <c r="C132" s="529" t="s">
        <v>58</v>
      </c>
      <c r="D132" s="530">
        <v>7.0000000000000007E-2</v>
      </c>
      <c r="E132" s="531"/>
      <c r="F132" s="531"/>
      <c r="G132" s="446"/>
      <c r="H132" s="444"/>
      <c r="I132" s="444"/>
      <c r="J132" s="444"/>
      <c r="K132" s="444"/>
    </row>
    <row r="133" spans="1:11" ht="15.75" customHeight="1" x14ac:dyDescent="0.3">
      <c r="A133" s="451"/>
      <c r="B133" s="451"/>
      <c r="C133" s="529" t="s">
        <v>171</v>
      </c>
      <c r="D133" s="530">
        <v>0.08</v>
      </c>
      <c r="E133" s="531"/>
      <c r="F133" s="531"/>
      <c r="G133" s="446"/>
      <c r="H133" s="444"/>
      <c r="I133" s="444"/>
      <c r="J133" s="444"/>
      <c r="K133" s="444"/>
    </row>
    <row r="134" spans="1:11" ht="15.75" customHeight="1" x14ac:dyDescent="0.3">
      <c r="A134" s="451"/>
      <c r="B134" s="451"/>
      <c r="C134" s="529" t="s">
        <v>43</v>
      </c>
      <c r="D134" s="530">
        <v>0.08</v>
      </c>
      <c r="E134" s="531"/>
      <c r="F134" s="531"/>
      <c r="G134" s="446"/>
      <c r="H134" s="444"/>
      <c r="I134" s="444"/>
      <c r="J134" s="444"/>
      <c r="K134" s="444"/>
    </row>
    <row r="135" spans="1:11" ht="15.75" customHeight="1" x14ac:dyDescent="0.3">
      <c r="A135" s="451"/>
      <c r="B135" s="451"/>
      <c r="C135" s="529" t="s">
        <v>348</v>
      </c>
      <c r="D135" s="530">
        <v>0.08</v>
      </c>
      <c r="E135" s="531"/>
      <c r="F135" s="531"/>
      <c r="G135" s="446"/>
      <c r="H135" s="444"/>
      <c r="I135" s="444"/>
      <c r="J135" s="444"/>
      <c r="K135" s="444"/>
    </row>
    <row r="136" spans="1:11" ht="15.75" customHeight="1" x14ac:dyDescent="0.3">
      <c r="A136" s="451"/>
      <c r="B136" s="451"/>
      <c r="C136" s="529" t="s">
        <v>197</v>
      </c>
      <c r="D136" s="530">
        <v>0.08</v>
      </c>
      <c r="E136" s="531"/>
      <c r="F136" s="531"/>
      <c r="G136" s="446"/>
      <c r="H136" s="444"/>
      <c r="I136" s="444"/>
      <c r="J136" s="444"/>
      <c r="K136" s="444"/>
    </row>
    <row r="137" spans="1:11" ht="15.75" customHeight="1" x14ac:dyDescent="0.3">
      <c r="A137" s="451"/>
      <c r="B137" s="451"/>
      <c r="C137" s="529" t="s">
        <v>70</v>
      </c>
      <c r="D137" s="530">
        <v>0.08</v>
      </c>
      <c r="E137" s="531"/>
      <c r="F137" s="531"/>
      <c r="G137" s="446"/>
      <c r="H137" s="444"/>
      <c r="I137" s="444"/>
      <c r="J137" s="444"/>
      <c r="K137" s="444"/>
    </row>
    <row r="138" spans="1:11" ht="15.75" customHeight="1" x14ac:dyDescent="0.3">
      <c r="A138" s="451"/>
      <c r="B138" s="451"/>
      <c r="C138" s="529" t="s">
        <v>8</v>
      </c>
      <c r="D138" s="530">
        <v>0.09</v>
      </c>
      <c r="E138" s="531"/>
      <c r="F138" s="531"/>
      <c r="G138" s="446"/>
      <c r="H138" s="444"/>
      <c r="I138" s="444"/>
      <c r="J138" s="444"/>
      <c r="K138" s="444"/>
    </row>
    <row r="139" spans="1:11" ht="15.75" customHeight="1" x14ac:dyDescent="0.3">
      <c r="A139" s="451"/>
      <c r="B139" s="451"/>
      <c r="C139" s="529" t="s">
        <v>2</v>
      </c>
      <c r="D139" s="530">
        <v>0.09</v>
      </c>
      <c r="E139" s="531"/>
      <c r="F139" s="531"/>
      <c r="G139" s="446"/>
      <c r="H139" s="444"/>
      <c r="I139" s="444"/>
      <c r="J139" s="444"/>
      <c r="K139" s="444"/>
    </row>
    <row r="140" spans="1:11" ht="15.75" customHeight="1" x14ac:dyDescent="0.3">
      <c r="A140" s="451"/>
      <c r="B140" s="451"/>
      <c r="C140" s="529" t="s">
        <v>9</v>
      </c>
      <c r="D140" s="530">
        <v>0.09</v>
      </c>
      <c r="E140" s="531"/>
      <c r="F140" s="531"/>
      <c r="G140" s="446"/>
      <c r="H140" s="444"/>
      <c r="I140" s="444"/>
      <c r="J140" s="444"/>
      <c r="K140" s="444"/>
    </row>
    <row r="141" spans="1:11" ht="15.75" customHeight="1" x14ac:dyDescent="0.3">
      <c r="A141" s="451"/>
      <c r="B141" s="451"/>
      <c r="C141" s="529" t="s">
        <v>157</v>
      </c>
      <c r="D141" s="530">
        <v>0.09</v>
      </c>
      <c r="E141" s="531"/>
      <c r="F141" s="531"/>
      <c r="G141" s="446"/>
      <c r="H141" s="444"/>
      <c r="I141" s="444"/>
      <c r="J141" s="444"/>
      <c r="K141" s="444"/>
    </row>
    <row r="142" spans="1:11" ht="15.75" customHeight="1" x14ac:dyDescent="0.3">
      <c r="A142" s="451"/>
      <c r="B142" s="451"/>
      <c r="C142" s="529" t="s">
        <v>39</v>
      </c>
      <c r="D142" s="530">
        <v>0.09</v>
      </c>
      <c r="E142" s="531"/>
      <c r="F142" s="531"/>
      <c r="G142" s="446"/>
      <c r="H142" s="444"/>
      <c r="I142" s="444"/>
      <c r="J142" s="444"/>
      <c r="K142" s="444"/>
    </row>
    <row r="143" spans="1:11" ht="15.75" customHeight="1" x14ac:dyDescent="0.3">
      <c r="A143" s="451"/>
      <c r="B143" s="451"/>
      <c r="C143" s="529" t="s">
        <v>49</v>
      </c>
      <c r="D143" s="530">
        <v>0.09</v>
      </c>
      <c r="E143" s="531"/>
      <c r="F143" s="531"/>
      <c r="G143" s="446"/>
      <c r="H143" s="444"/>
      <c r="I143" s="444"/>
      <c r="J143" s="444"/>
      <c r="K143" s="444"/>
    </row>
    <row r="144" spans="1:11" ht="15.75" customHeight="1" x14ac:dyDescent="0.3">
      <c r="A144" s="451"/>
      <c r="B144" s="451"/>
      <c r="C144" s="531" t="s">
        <v>72</v>
      </c>
      <c r="D144" s="530">
        <v>0.09</v>
      </c>
      <c r="E144" s="531"/>
      <c r="F144" s="531"/>
      <c r="G144" s="446"/>
      <c r="H144" s="444"/>
      <c r="I144" s="444"/>
      <c r="J144" s="444"/>
      <c r="K144" s="444"/>
    </row>
    <row r="145" spans="1:11" ht="15.75" customHeight="1" x14ac:dyDescent="0.3">
      <c r="A145" s="451"/>
      <c r="B145" s="451"/>
      <c r="C145" s="529" t="s">
        <v>3</v>
      </c>
      <c r="D145" s="530">
        <v>0.1</v>
      </c>
      <c r="E145" s="531"/>
      <c r="F145" s="531"/>
      <c r="G145" s="446"/>
      <c r="H145" s="444"/>
      <c r="I145" s="444"/>
      <c r="J145" s="444"/>
      <c r="K145" s="444"/>
    </row>
    <row r="146" spans="1:11" ht="15.75" customHeight="1" x14ac:dyDescent="0.3">
      <c r="A146" s="451"/>
      <c r="B146" s="451"/>
      <c r="C146" s="529" t="s">
        <v>6</v>
      </c>
      <c r="D146" s="530">
        <v>0.1</v>
      </c>
      <c r="E146" s="531"/>
      <c r="F146" s="531"/>
      <c r="G146" s="446"/>
      <c r="H146" s="444"/>
      <c r="I146" s="444"/>
      <c r="J146" s="444"/>
      <c r="K146" s="444"/>
    </row>
    <row r="147" spans="1:11" ht="15.75" customHeight="1" x14ac:dyDescent="0.3">
      <c r="A147" s="451"/>
      <c r="B147" s="451"/>
      <c r="C147" s="529" t="s">
        <v>57</v>
      </c>
      <c r="D147" s="530">
        <v>0.1</v>
      </c>
      <c r="E147" s="531"/>
      <c r="F147" s="531"/>
      <c r="G147" s="446"/>
      <c r="H147" s="444"/>
      <c r="I147" s="444"/>
      <c r="J147" s="444"/>
      <c r="K147" s="444"/>
    </row>
    <row r="148" spans="1:11" ht="15.75" customHeight="1" x14ac:dyDescent="0.3">
      <c r="A148" s="451"/>
      <c r="B148" s="451"/>
      <c r="C148" s="529" t="s">
        <v>104</v>
      </c>
      <c r="D148" s="530">
        <v>0.11</v>
      </c>
      <c r="E148" s="531"/>
      <c r="F148" s="531"/>
      <c r="G148" s="446"/>
      <c r="H148" s="444"/>
      <c r="I148" s="444"/>
      <c r="J148" s="444"/>
      <c r="K148" s="444"/>
    </row>
    <row r="149" spans="1:11" ht="15.75" customHeight="1" x14ac:dyDescent="0.3">
      <c r="A149" s="451"/>
      <c r="B149" s="451"/>
      <c r="C149" s="529" t="s">
        <v>15</v>
      </c>
      <c r="D149" s="530">
        <v>0.12</v>
      </c>
      <c r="E149" s="531"/>
      <c r="F149" s="531"/>
      <c r="G149" s="446"/>
      <c r="H149" s="444"/>
      <c r="I149" s="444"/>
      <c r="J149" s="444"/>
      <c r="K149" s="444"/>
    </row>
    <row r="150" spans="1:11" ht="15.75" customHeight="1" x14ac:dyDescent="0.3">
      <c r="A150" s="451"/>
      <c r="B150" s="451"/>
      <c r="C150" s="529" t="s">
        <v>165</v>
      </c>
      <c r="D150" s="530">
        <v>0.13</v>
      </c>
      <c r="E150" s="531"/>
      <c r="F150" s="531"/>
      <c r="G150" s="446"/>
      <c r="H150" s="444"/>
      <c r="I150" s="444"/>
      <c r="J150" s="444"/>
      <c r="K150" s="444"/>
    </row>
    <row r="151" spans="1:11" ht="15.75" customHeight="1" x14ac:dyDescent="0.3">
      <c r="A151" s="451"/>
      <c r="B151" s="451"/>
      <c r="C151" s="529" t="s">
        <v>42</v>
      </c>
      <c r="D151" s="530">
        <v>0.14000000000000001</v>
      </c>
      <c r="E151" s="531"/>
      <c r="F151" s="531"/>
      <c r="G151" s="446"/>
      <c r="H151" s="444"/>
      <c r="I151" s="444"/>
      <c r="J151" s="444"/>
    </row>
    <row r="152" spans="1:11" ht="15.75" customHeight="1" x14ac:dyDescent="0.3">
      <c r="A152" s="451"/>
      <c r="B152" s="451"/>
      <c r="C152" s="529" t="s">
        <v>329</v>
      </c>
      <c r="D152" s="530">
        <v>0.15</v>
      </c>
      <c r="E152" s="531"/>
      <c r="F152" s="531"/>
      <c r="G152" s="446"/>
      <c r="H152" s="444"/>
      <c r="I152" s="444"/>
      <c r="J152" s="444"/>
    </row>
    <row r="153" spans="1:11" ht="15.75" customHeight="1" x14ac:dyDescent="0.3">
      <c r="A153" s="451"/>
      <c r="B153" s="451"/>
      <c r="C153" s="529" t="s">
        <v>61</v>
      </c>
      <c r="D153" s="530">
        <v>0.15</v>
      </c>
      <c r="E153" s="531"/>
      <c r="F153" s="531"/>
      <c r="G153" s="446"/>
      <c r="H153" s="444"/>
      <c r="I153" s="444"/>
      <c r="J153" s="444"/>
    </row>
    <row r="154" spans="1:11" ht="15.75" customHeight="1" x14ac:dyDescent="0.3">
      <c r="A154" s="451"/>
      <c r="B154" s="451"/>
      <c r="C154" s="529" t="s">
        <v>46</v>
      </c>
      <c r="D154" s="530">
        <v>0.17</v>
      </c>
      <c r="E154" s="531"/>
      <c r="F154" s="531"/>
      <c r="G154" s="446"/>
      <c r="H154" s="444"/>
      <c r="I154" s="444"/>
      <c r="J154" s="444"/>
    </row>
    <row r="155" spans="1:11" ht="15.75" customHeight="1" x14ac:dyDescent="0.3">
      <c r="A155" s="451"/>
      <c r="B155" s="451"/>
      <c r="C155" s="529" t="s">
        <v>1</v>
      </c>
      <c r="D155" s="530">
        <v>0.18</v>
      </c>
      <c r="E155" s="531"/>
      <c r="F155" s="531"/>
      <c r="G155" s="446"/>
      <c r="H155" s="444"/>
      <c r="I155" s="444"/>
      <c r="J155" s="444"/>
    </row>
    <row r="156" spans="1:11" ht="15.75" customHeight="1" x14ac:dyDescent="0.3">
      <c r="A156" s="451"/>
      <c r="B156" s="451"/>
      <c r="C156" s="529" t="s">
        <v>277</v>
      </c>
      <c r="D156" s="530">
        <v>0.18</v>
      </c>
      <c r="E156" s="531"/>
      <c r="F156" s="531"/>
      <c r="G156" s="446"/>
      <c r="H156" s="444"/>
      <c r="I156" s="444"/>
      <c r="J156" s="444"/>
    </row>
    <row r="157" spans="1:11" ht="15.75" customHeight="1" x14ac:dyDescent="0.3">
      <c r="A157" s="451"/>
      <c r="B157" s="451"/>
      <c r="C157" s="529" t="s">
        <v>59</v>
      </c>
      <c r="D157" s="530">
        <v>0.18</v>
      </c>
      <c r="E157" s="531"/>
      <c r="F157" s="531"/>
      <c r="G157" s="446"/>
      <c r="H157" s="444"/>
      <c r="I157" s="444"/>
      <c r="J157" s="444"/>
    </row>
    <row r="158" spans="1:11" ht="15.75" customHeight="1" x14ac:dyDescent="0.3">
      <c r="A158" s="451"/>
      <c r="B158" s="451"/>
      <c r="C158" s="529" t="s">
        <v>10</v>
      </c>
      <c r="D158" s="530">
        <v>0.19</v>
      </c>
      <c r="E158" s="531"/>
      <c r="F158" s="531"/>
      <c r="G158" s="446"/>
      <c r="H158" s="444"/>
      <c r="I158" s="444"/>
      <c r="J158" s="444"/>
    </row>
    <row r="159" spans="1:11" ht="15.75" customHeight="1" x14ac:dyDescent="0.3">
      <c r="A159" s="451"/>
      <c r="B159" s="451"/>
      <c r="C159" s="529" t="s">
        <v>293</v>
      </c>
      <c r="D159" s="530">
        <v>0.19</v>
      </c>
      <c r="E159" s="531"/>
      <c r="F159" s="531"/>
      <c r="G159" s="446"/>
      <c r="H159" s="444"/>
      <c r="I159" s="444"/>
      <c r="J159" s="444"/>
    </row>
    <row r="160" spans="1:11" ht="15.75" customHeight="1" x14ac:dyDescent="0.3">
      <c r="A160" s="451"/>
      <c r="B160" s="451"/>
      <c r="C160" s="529" t="s">
        <v>62</v>
      </c>
      <c r="D160" s="530">
        <v>0.19</v>
      </c>
      <c r="E160" s="531"/>
      <c r="F160" s="531"/>
      <c r="G160" s="446"/>
      <c r="H160" s="444"/>
      <c r="I160" s="444"/>
      <c r="J160" s="444"/>
    </row>
    <row r="161" spans="1:10" ht="15.75" customHeight="1" x14ac:dyDescent="0.3">
      <c r="A161" s="451"/>
      <c r="B161" s="451"/>
      <c r="C161" s="529" t="s">
        <v>64</v>
      </c>
      <c r="D161" s="530">
        <v>0.19</v>
      </c>
      <c r="E161" s="531"/>
      <c r="F161" s="531"/>
      <c r="G161" s="446"/>
      <c r="H161" s="444"/>
      <c r="I161" s="444"/>
      <c r="J161" s="444"/>
    </row>
    <row r="162" spans="1:10" ht="15.75" customHeight="1" x14ac:dyDescent="0.3">
      <c r="A162" s="451"/>
      <c r="B162" s="451"/>
      <c r="C162" s="529" t="s">
        <v>7</v>
      </c>
      <c r="D162" s="530">
        <v>0.21</v>
      </c>
      <c r="E162" s="531"/>
      <c r="F162" s="531"/>
      <c r="G162" s="446"/>
      <c r="H162" s="444"/>
      <c r="I162" s="444"/>
      <c r="J162" s="444"/>
    </row>
    <row r="163" spans="1:10" ht="15.75" customHeight="1" x14ac:dyDescent="0.3">
      <c r="A163" s="451"/>
      <c r="B163" s="451"/>
      <c r="C163" s="529" t="s">
        <v>14</v>
      </c>
      <c r="D163" s="530">
        <v>0.21</v>
      </c>
      <c r="E163" s="531"/>
      <c r="F163" s="531"/>
      <c r="G163" s="446"/>
      <c r="H163" s="444"/>
      <c r="I163" s="444"/>
      <c r="J163" s="444"/>
    </row>
    <row r="164" spans="1:10" ht="15.75" customHeight="1" x14ac:dyDescent="0.3">
      <c r="A164" s="451"/>
      <c r="B164" s="451"/>
      <c r="C164" s="529" t="s">
        <v>17</v>
      </c>
      <c r="D164" s="530">
        <v>0.21</v>
      </c>
      <c r="E164" s="531"/>
      <c r="F164" s="531"/>
      <c r="G164" s="446"/>
      <c r="H164" s="444"/>
      <c r="I164" s="444"/>
      <c r="J164" s="444"/>
    </row>
    <row r="165" spans="1:10" ht="15.75" customHeight="1" x14ac:dyDescent="0.3">
      <c r="A165" s="451"/>
      <c r="B165" s="451"/>
      <c r="C165" s="529" t="s">
        <v>491</v>
      </c>
      <c r="D165" s="530">
        <v>0.21</v>
      </c>
      <c r="E165" s="531"/>
      <c r="F165" s="531"/>
      <c r="G165" s="446"/>
      <c r="H165" s="444"/>
      <c r="I165" s="444"/>
      <c r="J165" s="444"/>
    </row>
    <row r="166" spans="1:10" ht="15.75" customHeight="1" x14ac:dyDescent="0.3">
      <c r="A166" s="451"/>
      <c r="B166" s="451"/>
      <c r="C166" s="529" t="s">
        <v>27</v>
      </c>
      <c r="D166" s="530">
        <v>0.21</v>
      </c>
      <c r="E166" s="531"/>
      <c r="F166" s="531"/>
      <c r="G166" s="446"/>
      <c r="H166" s="444"/>
      <c r="I166" s="444"/>
      <c r="J166" s="444"/>
    </row>
    <row r="167" spans="1:10" ht="15.75" customHeight="1" x14ac:dyDescent="0.3">
      <c r="A167" s="451"/>
      <c r="B167" s="451"/>
      <c r="C167" s="529" t="s">
        <v>28</v>
      </c>
      <c r="D167" s="530">
        <v>0.21</v>
      </c>
      <c r="E167" s="531"/>
      <c r="F167" s="531"/>
      <c r="G167" s="446"/>
      <c r="H167" s="444"/>
      <c r="I167" s="444"/>
      <c r="J167" s="444"/>
    </row>
    <row r="168" spans="1:10" ht="15.75" customHeight="1" x14ac:dyDescent="0.3">
      <c r="A168" s="451"/>
      <c r="B168" s="451"/>
      <c r="C168" s="529" t="s">
        <v>33</v>
      </c>
      <c r="D168" s="530">
        <v>0.21</v>
      </c>
      <c r="E168" s="531"/>
      <c r="F168" s="531"/>
      <c r="G168" s="446"/>
      <c r="H168" s="444"/>
      <c r="I168" s="444"/>
      <c r="J168" s="444"/>
    </row>
    <row r="169" spans="1:10" ht="15.75" customHeight="1" x14ac:dyDescent="0.3">
      <c r="A169" s="451"/>
      <c r="B169" s="451"/>
      <c r="C169" s="529" t="s">
        <v>34</v>
      </c>
      <c r="D169" s="530">
        <v>0.21</v>
      </c>
      <c r="E169" s="531"/>
      <c r="F169" s="531"/>
      <c r="G169" s="446"/>
      <c r="H169" s="444"/>
      <c r="I169" s="444"/>
      <c r="J169" s="444"/>
    </row>
    <row r="170" spans="1:10" ht="15.75" customHeight="1" x14ac:dyDescent="0.3">
      <c r="A170" s="451"/>
      <c r="B170" s="451"/>
      <c r="C170" s="529" t="s">
        <v>50</v>
      </c>
      <c r="D170" s="530">
        <v>0.21</v>
      </c>
      <c r="E170" s="531"/>
      <c r="F170" s="531"/>
      <c r="G170" s="446"/>
      <c r="H170" s="444"/>
      <c r="I170" s="444"/>
      <c r="J170" s="444"/>
    </row>
    <row r="171" spans="1:10" ht="15.75" customHeight="1" x14ac:dyDescent="0.3">
      <c r="A171" s="451"/>
      <c r="B171" s="451"/>
      <c r="C171" s="529" t="s">
        <v>63</v>
      </c>
      <c r="D171" s="530">
        <v>0.21</v>
      </c>
      <c r="E171" s="531"/>
      <c r="F171" s="531"/>
      <c r="G171" s="446"/>
      <c r="H171" s="444"/>
      <c r="I171" s="444"/>
      <c r="J171" s="444"/>
    </row>
    <row r="172" spans="1:10" ht="15.75" customHeight="1" x14ac:dyDescent="0.3">
      <c r="A172" s="451"/>
      <c r="B172" s="451"/>
      <c r="C172" s="529" t="s">
        <v>141</v>
      </c>
      <c r="D172" s="530">
        <v>0.22</v>
      </c>
      <c r="E172" s="531"/>
      <c r="F172" s="531"/>
      <c r="G172" s="446"/>
      <c r="H172" s="444"/>
      <c r="I172" s="444"/>
      <c r="J172" s="444"/>
    </row>
    <row r="173" spans="1:10" ht="15.75" customHeight="1" x14ac:dyDescent="0.3">
      <c r="A173" s="451"/>
      <c r="B173" s="451"/>
      <c r="C173" s="529" t="s">
        <v>29</v>
      </c>
      <c r="D173" s="530">
        <v>0.22</v>
      </c>
      <c r="E173" s="531"/>
      <c r="F173" s="531"/>
      <c r="G173" s="446"/>
      <c r="H173" s="444"/>
      <c r="I173" s="444"/>
      <c r="J173" s="444"/>
    </row>
    <row r="174" spans="1:10" ht="15.75" customHeight="1" x14ac:dyDescent="0.3">
      <c r="A174" s="451"/>
      <c r="B174" s="451"/>
      <c r="C174" s="529" t="s">
        <v>54</v>
      </c>
      <c r="D174" s="530">
        <v>0.22</v>
      </c>
      <c r="E174" s="531"/>
      <c r="F174" s="531"/>
      <c r="G174" s="446"/>
      <c r="H174" s="444"/>
      <c r="I174" s="444"/>
      <c r="J174" s="444"/>
    </row>
    <row r="175" spans="1:10" ht="15.75" customHeight="1" x14ac:dyDescent="0.3">
      <c r="A175" s="451"/>
      <c r="B175" s="451"/>
      <c r="C175" s="529" t="s">
        <v>55</v>
      </c>
      <c r="D175" s="530">
        <v>0.22</v>
      </c>
      <c r="E175" s="531"/>
      <c r="F175" s="531"/>
      <c r="G175" s="446"/>
      <c r="H175" s="444"/>
      <c r="I175" s="444"/>
      <c r="J175" s="444"/>
    </row>
    <row r="176" spans="1:10" ht="15.75" customHeight="1" x14ac:dyDescent="0.3">
      <c r="A176" s="451"/>
      <c r="B176" s="451"/>
      <c r="C176" s="529" t="s">
        <v>98</v>
      </c>
      <c r="D176" s="530">
        <v>0.22</v>
      </c>
      <c r="E176" s="531"/>
      <c r="F176" s="531"/>
      <c r="G176" s="446"/>
      <c r="H176" s="444"/>
      <c r="I176" s="444"/>
      <c r="J176" s="444"/>
    </row>
    <row r="177" spans="1:10" ht="15.75" customHeight="1" x14ac:dyDescent="0.3">
      <c r="A177" s="451"/>
      <c r="B177" s="451"/>
      <c r="C177" s="529" t="s">
        <v>67</v>
      </c>
      <c r="D177" s="530">
        <v>0.25</v>
      </c>
      <c r="E177" s="531"/>
      <c r="F177" s="531"/>
      <c r="G177" s="446"/>
      <c r="H177" s="444"/>
      <c r="I177" s="444"/>
      <c r="J177" s="444"/>
    </row>
    <row r="178" spans="1:10" ht="15.75" customHeight="1" x14ac:dyDescent="0.3">
      <c r="A178" s="451"/>
      <c r="B178" s="451"/>
      <c r="C178" s="531" t="s">
        <v>73</v>
      </c>
      <c r="D178" s="530">
        <v>0.27</v>
      </c>
      <c r="E178" s="531"/>
      <c r="F178" s="531"/>
      <c r="G178" s="446"/>
      <c r="H178" s="444"/>
      <c r="I178" s="444"/>
      <c r="J178" s="444"/>
    </row>
    <row r="179" spans="1:10" ht="15.75" customHeight="1" x14ac:dyDescent="0.3">
      <c r="A179" s="451"/>
      <c r="B179" s="451"/>
      <c r="C179" s="529" t="s">
        <v>637</v>
      </c>
      <c r="D179" s="530">
        <v>0.3286848580184808</v>
      </c>
      <c r="E179" s="531"/>
      <c r="F179" s="531"/>
      <c r="G179" s="446"/>
      <c r="H179" s="444"/>
      <c r="I179" s="444"/>
      <c r="J179" s="444"/>
    </row>
    <row r="180" spans="1:10" ht="15.75" customHeight="1" x14ac:dyDescent="0.3">
      <c r="A180" s="451"/>
      <c r="B180" s="451"/>
      <c r="C180" s="529" t="s">
        <v>167</v>
      </c>
      <c r="D180" s="530">
        <v>0.33</v>
      </c>
      <c r="E180" s="531"/>
      <c r="F180" s="531"/>
      <c r="G180" s="446"/>
      <c r="H180" s="444"/>
      <c r="I180" s="444"/>
      <c r="J180" s="444"/>
    </row>
    <row r="181" spans="1:10" ht="15.75" customHeight="1" x14ac:dyDescent="0.3">
      <c r="A181" s="451"/>
      <c r="B181" s="451"/>
      <c r="C181" s="529" t="s">
        <v>633</v>
      </c>
      <c r="D181" s="530">
        <v>0.40204354808515036</v>
      </c>
      <c r="E181" s="531"/>
      <c r="F181" s="531"/>
      <c r="G181" s="446"/>
      <c r="H181" s="444"/>
      <c r="I181" s="444"/>
      <c r="J181" s="444"/>
    </row>
    <row r="182" spans="1:10" ht="15.75" customHeight="1" x14ac:dyDescent="0.3">
      <c r="A182" s="451"/>
      <c r="B182" s="451"/>
      <c r="C182" s="529" t="s">
        <v>635</v>
      </c>
      <c r="D182" s="530">
        <v>0.4564704458343436</v>
      </c>
      <c r="E182" s="531"/>
      <c r="F182" s="531"/>
      <c r="G182" s="446"/>
      <c r="H182" s="444"/>
      <c r="I182" s="444"/>
      <c r="J182" s="444"/>
    </row>
    <row r="183" spans="1:10" ht="15.75" customHeight="1" x14ac:dyDescent="0.3">
      <c r="A183" s="451"/>
      <c r="B183" s="451"/>
      <c r="C183" s="529" t="s">
        <v>191</v>
      </c>
      <c r="D183" s="530">
        <v>0.52</v>
      </c>
      <c r="E183" s="531"/>
      <c r="F183" s="531"/>
      <c r="G183" s="446"/>
      <c r="H183" s="444"/>
      <c r="I183" s="444"/>
      <c r="J183" s="444"/>
    </row>
    <row r="184" spans="1:10" ht="15.75" customHeight="1" x14ac:dyDescent="0.3">
      <c r="A184" s="451"/>
      <c r="B184" s="451"/>
      <c r="C184" s="529" t="s">
        <v>494</v>
      </c>
      <c r="D184" s="530">
        <v>0.57999999999999996</v>
      </c>
      <c r="E184" s="531"/>
      <c r="F184" s="531"/>
      <c r="G184" s="446"/>
      <c r="H184" s="444"/>
      <c r="I184" s="444"/>
      <c r="J184" s="444"/>
    </row>
    <row r="185" spans="1:10" ht="15.75" customHeight="1" x14ac:dyDescent="0.3">
      <c r="A185" s="451"/>
      <c r="B185" s="451"/>
      <c r="C185" s="529" t="s">
        <v>51</v>
      </c>
      <c r="D185" s="530">
        <v>0.67</v>
      </c>
      <c r="E185" s="531"/>
      <c r="F185" s="531"/>
      <c r="G185" s="446"/>
      <c r="H185" s="444"/>
      <c r="I185" s="444"/>
      <c r="J185" s="444"/>
    </row>
    <row r="186" spans="1:10" ht="15.75" customHeight="1" x14ac:dyDescent="0.3">
      <c r="A186" s="451"/>
      <c r="B186" s="451"/>
      <c r="C186" s="529" t="s">
        <v>108</v>
      </c>
      <c r="D186" s="530">
        <v>0.67</v>
      </c>
      <c r="E186" s="531"/>
      <c r="F186" s="531"/>
      <c r="G186" s="446"/>
      <c r="H186" s="444"/>
      <c r="I186" s="444"/>
      <c r="J186" s="444"/>
    </row>
    <row r="187" spans="1:10" ht="15.75" customHeight="1" x14ac:dyDescent="0.3">
      <c r="A187" s="451"/>
      <c r="B187" s="451"/>
      <c r="C187" s="529" t="s">
        <v>495</v>
      </c>
      <c r="D187" s="530">
        <v>0.69</v>
      </c>
      <c r="E187" s="531"/>
      <c r="F187" s="531"/>
      <c r="G187" s="446"/>
      <c r="H187" s="444"/>
      <c r="I187" s="444"/>
      <c r="J187" s="444"/>
    </row>
    <row r="188" spans="1:10" ht="15.75" customHeight="1" x14ac:dyDescent="0.3">
      <c r="A188" s="451"/>
      <c r="B188" s="451"/>
      <c r="C188" s="529" t="s">
        <v>40</v>
      </c>
      <c r="D188" s="530">
        <v>0.9</v>
      </c>
      <c r="E188" s="531"/>
      <c r="F188" s="531"/>
      <c r="G188" s="446"/>
      <c r="H188" s="444"/>
      <c r="I188" s="444"/>
      <c r="J188" s="444"/>
    </row>
    <row r="189" spans="1:10" ht="15.75" customHeight="1" x14ac:dyDescent="0.3">
      <c r="A189" s="451"/>
      <c r="B189" s="451"/>
      <c r="C189" s="529" t="s">
        <v>196</v>
      </c>
      <c r="D189" s="530">
        <v>0.9</v>
      </c>
      <c r="E189" s="531"/>
      <c r="F189" s="531"/>
      <c r="G189" s="446"/>
      <c r="H189" s="444"/>
      <c r="I189" s="444"/>
      <c r="J189" s="444"/>
    </row>
    <row r="190" spans="1:10" ht="15.75" customHeight="1" x14ac:dyDescent="0.3">
      <c r="A190" s="451"/>
      <c r="B190" s="451"/>
      <c r="C190" s="529" t="s">
        <v>639</v>
      </c>
      <c r="D190" s="530">
        <v>0.90441617455756129</v>
      </c>
      <c r="E190" s="531"/>
      <c r="F190" s="531"/>
      <c r="G190" s="446"/>
      <c r="H190" s="444"/>
      <c r="I190" s="444"/>
      <c r="J190" s="444"/>
    </row>
    <row r="191" spans="1:10" ht="15.75" customHeight="1" x14ac:dyDescent="0.3">
      <c r="A191" s="451"/>
      <c r="B191" s="451"/>
      <c r="C191" s="529" t="s">
        <v>512</v>
      </c>
      <c r="D191" s="530">
        <v>0.96540466362171351</v>
      </c>
      <c r="E191" s="531"/>
      <c r="F191" s="531"/>
      <c r="G191" s="446"/>
      <c r="H191" s="444"/>
      <c r="I191" s="444"/>
      <c r="J191" s="444"/>
    </row>
    <row r="192" spans="1:10" ht="15.75" customHeight="1" x14ac:dyDescent="0.3">
      <c r="A192" s="451"/>
      <c r="B192" s="451"/>
      <c r="C192" s="529" t="s">
        <v>12</v>
      </c>
      <c r="D192" s="530">
        <v>1.01</v>
      </c>
      <c r="E192" s="531"/>
      <c r="F192" s="531"/>
      <c r="G192" s="446"/>
      <c r="H192" s="444"/>
      <c r="I192" s="444"/>
      <c r="J192" s="444"/>
    </row>
    <row r="193" spans="1:11" ht="15.75" customHeight="1" x14ac:dyDescent="0.3">
      <c r="A193" s="451"/>
      <c r="B193" s="451"/>
      <c r="C193" s="529" t="s">
        <v>52</v>
      </c>
      <c r="D193" s="530">
        <v>1.01</v>
      </c>
      <c r="E193" s="531"/>
      <c r="F193" s="531"/>
      <c r="G193" s="446"/>
      <c r="H193" s="444"/>
      <c r="I193" s="444"/>
      <c r="J193" s="444"/>
    </row>
    <row r="194" spans="1:11" ht="15.75" customHeight="1" x14ac:dyDescent="0.3">
      <c r="A194" s="451"/>
      <c r="B194" s="451"/>
      <c r="C194" s="529" t="s">
        <v>510</v>
      </c>
      <c r="D194" s="530">
        <v>1.0360680060461656</v>
      </c>
      <c r="E194" s="531"/>
      <c r="F194" s="531"/>
      <c r="G194" s="446"/>
      <c r="H194" s="444"/>
      <c r="I194" s="444"/>
      <c r="J194" s="444"/>
    </row>
    <row r="195" spans="1:11" ht="15.75" customHeight="1" x14ac:dyDescent="0.3">
      <c r="A195" s="451"/>
      <c r="B195" s="451"/>
      <c r="C195" s="529" t="s">
        <v>47</v>
      </c>
      <c r="D195" s="530">
        <v>1.17</v>
      </c>
      <c r="E195" s="531"/>
      <c r="F195" s="531"/>
      <c r="G195" s="446"/>
      <c r="H195" s="444"/>
      <c r="I195" s="444"/>
      <c r="J195" s="444"/>
      <c r="K195" s="444"/>
    </row>
    <row r="196" spans="1:11" ht="15.75" customHeight="1" x14ac:dyDescent="0.3">
      <c r="A196" s="451"/>
      <c r="B196" s="451"/>
      <c r="C196" s="529" t="s">
        <v>194</v>
      </c>
      <c r="D196" s="530">
        <v>1.18</v>
      </c>
      <c r="E196" s="531"/>
      <c r="F196" s="531"/>
      <c r="G196" s="446"/>
      <c r="H196" s="444"/>
      <c r="I196" s="444"/>
      <c r="J196" s="444"/>
      <c r="K196" s="444"/>
    </row>
    <row r="197" spans="1:11" ht="15.75" customHeight="1" x14ac:dyDescent="0.3">
      <c r="A197" s="451"/>
      <c r="B197" s="451"/>
      <c r="C197" s="529" t="s">
        <v>11</v>
      </c>
      <c r="D197" s="530">
        <v>1.3</v>
      </c>
      <c r="E197" s="531"/>
      <c r="F197" s="531"/>
      <c r="G197" s="446"/>
      <c r="H197" s="444"/>
      <c r="I197" s="444"/>
    </row>
    <row r="198" spans="1:11" ht="15.75" customHeight="1" x14ac:dyDescent="0.3">
      <c r="A198" s="451"/>
      <c r="B198" s="451"/>
      <c r="C198" s="529" t="s">
        <v>41</v>
      </c>
      <c r="D198" s="530">
        <v>1.3</v>
      </c>
      <c r="E198" s="531"/>
      <c r="F198" s="531"/>
      <c r="G198" s="446"/>
      <c r="H198" s="444"/>
      <c r="I198" s="444"/>
    </row>
    <row r="199" spans="1:11" ht="15.75" customHeight="1" x14ac:dyDescent="0.3">
      <c r="A199" s="451"/>
      <c r="B199" s="451"/>
      <c r="C199" s="529" t="s">
        <v>195</v>
      </c>
      <c r="D199" s="530">
        <v>1.3</v>
      </c>
      <c r="E199" s="531"/>
      <c r="F199" s="531"/>
      <c r="G199" s="446"/>
      <c r="H199" s="444"/>
      <c r="I199" s="444"/>
    </row>
    <row r="200" spans="1:11" ht="15.75" customHeight="1" x14ac:dyDescent="0.3">
      <c r="A200" s="451"/>
      <c r="B200" s="451"/>
      <c r="C200" s="529" t="s">
        <v>508</v>
      </c>
      <c r="D200" s="530">
        <v>1.3195063122807065</v>
      </c>
      <c r="E200" s="531"/>
      <c r="F200" s="531"/>
      <c r="G200" s="446"/>
      <c r="H200" s="444"/>
      <c r="I200" s="444"/>
    </row>
    <row r="201" spans="1:11" ht="15.75" customHeight="1" x14ac:dyDescent="0.3">
      <c r="A201" s="451"/>
      <c r="B201" s="451"/>
      <c r="C201" s="529" t="s">
        <v>22</v>
      </c>
      <c r="D201" s="530">
        <v>1.57</v>
      </c>
      <c r="E201" s="531"/>
      <c r="F201" s="531"/>
      <c r="G201" s="446"/>
      <c r="H201" s="444"/>
      <c r="I201" s="444"/>
    </row>
    <row r="202" spans="1:11" ht="15.75" customHeight="1" x14ac:dyDescent="0.3">
      <c r="A202" s="451"/>
      <c r="B202" s="451"/>
      <c r="C202" s="529" t="s">
        <v>23</v>
      </c>
      <c r="D202" s="530">
        <v>2.04</v>
      </c>
      <c r="E202" s="531"/>
      <c r="F202" s="531"/>
      <c r="G202" s="446"/>
      <c r="H202" s="444"/>
      <c r="I202" s="444"/>
    </row>
    <row r="203" spans="1:11" ht="15.75" customHeight="1" x14ac:dyDescent="0.3">
      <c r="A203" s="451"/>
      <c r="B203" s="451"/>
      <c r="C203" s="529" t="s">
        <v>509</v>
      </c>
      <c r="D203" s="530">
        <v>3.3428779312499994</v>
      </c>
      <c r="E203" s="531"/>
      <c r="F203" s="531"/>
      <c r="G203" s="446"/>
      <c r="H203" s="444"/>
      <c r="I203" s="444"/>
    </row>
    <row r="204" spans="1:11" ht="15.75" customHeight="1" x14ac:dyDescent="0.3">
      <c r="A204" s="451"/>
      <c r="B204" s="451"/>
      <c r="C204" s="531"/>
      <c r="D204" s="530"/>
      <c r="E204" s="531"/>
      <c r="F204" s="531"/>
      <c r="G204" s="446"/>
      <c r="H204" s="444"/>
      <c r="I204" s="444"/>
    </row>
    <row r="205" spans="1:11" ht="15.75" customHeight="1" x14ac:dyDescent="0.3">
      <c r="A205" s="451"/>
      <c r="B205" s="451"/>
      <c r="C205" s="531"/>
      <c r="D205" s="530"/>
      <c r="E205" s="531"/>
      <c r="F205" s="531"/>
      <c r="G205" s="446"/>
      <c r="H205" s="444"/>
      <c r="I205" s="444"/>
    </row>
    <row r="206" spans="1:11" ht="15.75" customHeight="1" x14ac:dyDescent="0.3">
      <c r="A206" s="451"/>
      <c r="B206" s="451"/>
      <c r="C206" s="531"/>
      <c r="D206" s="530"/>
      <c r="E206" s="531"/>
      <c r="F206" s="531"/>
      <c r="G206" s="446"/>
      <c r="H206" s="444"/>
      <c r="I206" s="444"/>
    </row>
    <row r="207" spans="1:11" ht="15.75" customHeight="1" x14ac:dyDescent="0.3">
      <c r="A207" s="451"/>
      <c r="B207" s="451"/>
      <c r="C207" s="531"/>
      <c r="D207" s="530"/>
      <c r="E207" s="531"/>
      <c r="F207" s="531"/>
      <c r="G207" s="446"/>
      <c r="H207" s="444"/>
      <c r="I207" s="444"/>
    </row>
    <row r="208" spans="1:11" ht="15.75" customHeight="1" x14ac:dyDescent="0.3">
      <c r="A208" s="451"/>
      <c r="B208" s="451"/>
      <c r="C208" s="531"/>
      <c r="D208" s="530"/>
      <c r="E208" s="531"/>
      <c r="F208" s="531"/>
      <c r="G208" s="446"/>
      <c r="H208" s="444"/>
      <c r="I208" s="444"/>
    </row>
    <row r="209" spans="1:9" ht="15.75" customHeight="1" x14ac:dyDescent="0.3">
      <c r="A209" s="451"/>
      <c r="B209" s="451"/>
      <c r="C209" s="531"/>
      <c r="D209" s="530"/>
      <c r="E209" s="531"/>
      <c r="F209" s="531"/>
      <c r="G209" s="446"/>
      <c r="H209" s="444"/>
      <c r="I209" s="444"/>
    </row>
    <row r="210" spans="1:9" ht="15.75" customHeight="1" x14ac:dyDescent="0.3">
      <c r="A210" s="451"/>
      <c r="B210" s="451"/>
      <c r="C210" s="531"/>
      <c r="D210" s="530"/>
      <c r="E210" s="531"/>
      <c r="F210" s="531"/>
      <c r="G210" s="446"/>
      <c r="H210" s="444"/>
      <c r="I210" s="444"/>
    </row>
    <row r="211" spans="1:9" ht="15.75" customHeight="1" x14ac:dyDescent="0.3">
      <c r="A211" s="451"/>
      <c r="B211" s="451"/>
      <c r="C211" s="531"/>
      <c r="D211" s="530"/>
      <c r="E211" s="531"/>
      <c r="F211" s="531"/>
      <c r="G211" s="446"/>
      <c r="H211" s="444"/>
      <c r="I211" s="444"/>
    </row>
    <row r="212" spans="1:9" ht="15.75" customHeight="1" x14ac:dyDescent="0.3">
      <c r="A212" s="451"/>
      <c r="B212" s="451"/>
      <c r="C212" s="531"/>
      <c r="D212" s="530"/>
      <c r="E212" s="531"/>
      <c r="F212" s="531"/>
      <c r="G212" s="446"/>
      <c r="H212" s="444"/>
      <c r="I212" s="444"/>
    </row>
    <row r="213" spans="1:9" ht="15.75" customHeight="1" x14ac:dyDescent="0.3">
      <c r="A213" s="451"/>
      <c r="B213" s="451"/>
      <c r="C213" s="531"/>
      <c r="D213" s="530"/>
      <c r="E213" s="531"/>
      <c r="F213" s="531"/>
      <c r="G213" s="446"/>
      <c r="H213" s="444"/>
      <c r="I213" s="444"/>
    </row>
    <row r="214" spans="1:9" ht="15.75" customHeight="1" x14ac:dyDescent="0.3">
      <c r="A214" s="451"/>
      <c r="B214" s="451"/>
      <c r="C214" s="531"/>
      <c r="D214" s="530"/>
      <c r="E214" s="531"/>
      <c r="F214" s="531"/>
      <c r="G214" s="446"/>
      <c r="H214" s="444"/>
      <c r="I214" s="444"/>
    </row>
    <row r="215" spans="1:9" ht="15.75" customHeight="1" x14ac:dyDescent="0.3">
      <c r="A215" s="451"/>
      <c r="B215" s="451"/>
      <c r="C215" s="531"/>
      <c r="D215" s="530"/>
      <c r="E215" s="531"/>
      <c r="F215" s="531"/>
      <c r="G215" s="446"/>
      <c r="H215" s="444"/>
      <c r="I215" s="444"/>
    </row>
    <row r="216" spans="1:9" ht="15.75" customHeight="1" x14ac:dyDescent="0.3">
      <c r="A216" s="451"/>
      <c r="B216" s="451"/>
      <c r="C216" s="531"/>
      <c r="D216" s="530"/>
      <c r="E216" s="531"/>
      <c r="F216" s="531"/>
      <c r="G216" s="446"/>
      <c r="H216" s="444"/>
      <c r="I216" s="444"/>
    </row>
    <row r="217" spans="1:9" ht="15.75" customHeight="1" x14ac:dyDescent="0.3">
      <c r="A217" s="451"/>
      <c r="B217" s="451"/>
      <c r="C217" s="531"/>
      <c r="D217" s="530"/>
      <c r="E217" s="531"/>
      <c r="F217" s="531"/>
      <c r="G217" s="446"/>
      <c r="H217" s="444"/>
      <c r="I217" s="444"/>
    </row>
    <row r="218" spans="1:9" ht="15.75" customHeight="1" x14ac:dyDescent="0.3">
      <c r="A218" s="451"/>
      <c r="B218" s="451"/>
      <c r="C218" s="531"/>
      <c r="D218" s="530"/>
      <c r="E218" s="531"/>
      <c r="F218" s="531"/>
      <c r="G218" s="446"/>
      <c r="H218" s="444"/>
      <c r="I218" s="444"/>
    </row>
    <row r="219" spans="1:9" ht="15.75" customHeight="1" x14ac:dyDescent="0.3">
      <c r="A219" s="451"/>
      <c r="B219" s="451"/>
      <c r="C219" s="531"/>
      <c r="D219" s="530"/>
      <c r="E219" s="531"/>
      <c r="F219" s="531"/>
      <c r="G219" s="446"/>
      <c r="H219" s="444"/>
      <c r="I219" s="444"/>
    </row>
    <row r="220" spans="1:9" ht="15.75" customHeight="1" x14ac:dyDescent="0.3">
      <c r="A220" s="451"/>
      <c r="B220" s="451"/>
      <c r="C220" s="531"/>
      <c r="D220" s="530"/>
      <c r="E220" s="531"/>
      <c r="F220" s="531"/>
      <c r="G220" s="446"/>
      <c r="H220" s="444"/>
      <c r="I220" s="444"/>
    </row>
    <row r="221" spans="1:9" ht="15.75" customHeight="1" x14ac:dyDescent="0.3">
      <c r="A221" s="451"/>
      <c r="B221" s="451"/>
      <c r="C221" s="531"/>
      <c r="D221" s="530"/>
      <c r="E221" s="531"/>
      <c r="F221" s="531"/>
      <c r="G221" s="446"/>
      <c r="H221" s="444"/>
      <c r="I221" s="444"/>
    </row>
    <row r="222" spans="1:9" ht="15.75" customHeight="1" x14ac:dyDescent="0.3">
      <c r="A222" s="451"/>
      <c r="B222" s="451"/>
      <c r="C222" s="531"/>
      <c r="D222" s="530"/>
      <c r="E222" s="531"/>
      <c r="F222" s="531"/>
      <c r="G222" s="446"/>
      <c r="H222" s="444"/>
      <c r="I222" s="444"/>
    </row>
    <row r="223" spans="1:9" ht="15.75" customHeight="1" x14ac:dyDescent="0.3">
      <c r="A223" s="451"/>
      <c r="B223" s="451"/>
      <c r="C223" s="531"/>
      <c r="D223" s="530"/>
      <c r="E223" s="531"/>
      <c r="F223" s="531"/>
      <c r="G223" s="446"/>
      <c r="H223" s="444"/>
      <c r="I223" s="444"/>
    </row>
    <row r="224" spans="1:9" ht="15.75" customHeight="1" x14ac:dyDescent="0.3">
      <c r="A224" s="451"/>
      <c r="B224" s="451"/>
      <c r="C224" s="531"/>
      <c r="D224" s="530"/>
      <c r="E224" s="531"/>
      <c r="F224" s="531"/>
      <c r="G224" s="446"/>
      <c r="H224" s="444"/>
      <c r="I224" s="444"/>
    </row>
    <row r="225" spans="1:9" ht="15.75" customHeight="1" x14ac:dyDescent="0.3">
      <c r="A225" s="451"/>
      <c r="B225" s="451"/>
      <c r="C225" s="531"/>
      <c r="D225" s="530"/>
      <c r="E225" s="531"/>
      <c r="F225" s="531"/>
      <c r="G225" s="446"/>
      <c r="H225" s="444"/>
      <c r="I225" s="444"/>
    </row>
    <row r="226" spans="1:9" ht="15.75" customHeight="1" x14ac:dyDescent="0.3">
      <c r="A226" s="451"/>
      <c r="B226" s="451"/>
      <c r="C226" s="531"/>
      <c r="D226" s="530"/>
      <c r="E226" s="531"/>
      <c r="F226" s="531"/>
      <c r="G226" s="446"/>
      <c r="H226" s="444"/>
      <c r="I226" s="444"/>
    </row>
    <row r="227" spans="1:9" ht="15.75" customHeight="1" x14ac:dyDescent="0.3">
      <c r="A227" s="451"/>
      <c r="B227" s="451"/>
      <c r="C227" s="531"/>
      <c r="D227" s="530"/>
      <c r="E227" s="531"/>
      <c r="F227" s="531"/>
      <c r="G227" s="446"/>
      <c r="H227" s="444"/>
      <c r="I227" s="444"/>
    </row>
    <row r="228" spans="1:9" ht="15.75" customHeight="1" x14ac:dyDescent="0.3">
      <c r="A228" s="451"/>
      <c r="B228" s="451"/>
      <c r="C228" s="531"/>
      <c r="D228" s="530"/>
      <c r="E228" s="531"/>
      <c r="F228" s="531"/>
      <c r="G228" s="446"/>
      <c r="H228" s="444"/>
      <c r="I228" s="444"/>
    </row>
    <row r="229" spans="1:9" ht="15.75" customHeight="1" x14ac:dyDescent="0.3">
      <c r="A229" s="451"/>
      <c r="B229" s="451"/>
      <c r="C229" s="531"/>
      <c r="D229" s="530"/>
      <c r="E229" s="531"/>
      <c r="F229" s="531"/>
      <c r="G229" s="446"/>
      <c r="H229" s="444"/>
      <c r="I229" s="444"/>
    </row>
    <row r="230" spans="1:9" ht="15.75" customHeight="1" x14ac:dyDescent="0.3">
      <c r="A230" s="451"/>
      <c r="B230" s="451"/>
      <c r="C230" s="531"/>
      <c r="D230" s="530"/>
      <c r="E230" s="531"/>
      <c r="F230" s="531"/>
      <c r="G230" s="446"/>
      <c r="H230" s="444"/>
      <c r="I230" s="444"/>
    </row>
    <row r="231" spans="1:9" ht="15.75" customHeight="1" x14ac:dyDescent="0.3">
      <c r="A231" s="451"/>
      <c r="B231" s="451"/>
      <c r="C231" s="531"/>
      <c r="D231" s="530"/>
      <c r="E231" s="531"/>
      <c r="F231" s="531"/>
      <c r="G231" s="446"/>
      <c r="H231" s="444"/>
      <c r="I231" s="444"/>
    </row>
    <row r="232" spans="1:9" ht="15.75" customHeight="1" x14ac:dyDescent="0.3">
      <c r="A232" s="451"/>
      <c r="B232" s="451"/>
      <c r="C232" s="531"/>
      <c r="D232" s="530"/>
      <c r="E232" s="531"/>
      <c r="F232" s="531"/>
      <c r="G232" s="448"/>
      <c r="H232" s="444"/>
      <c r="I232" s="444"/>
    </row>
    <row r="233" spans="1:9" ht="15.75" customHeight="1" x14ac:dyDescent="0.3">
      <c r="C233" s="447"/>
      <c r="D233" s="445"/>
      <c r="E233" s="447"/>
      <c r="F233" s="447"/>
      <c r="G233" s="448"/>
      <c r="H233" s="444"/>
      <c r="I233" s="444"/>
    </row>
    <row r="234" spans="1:9" ht="15.75" customHeight="1" x14ac:dyDescent="0.3">
      <c r="C234" s="447"/>
      <c r="D234" s="445"/>
      <c r="E234" s="447"/>
      <c r="F234" s="447"/>
      <c r="G234" s="448"/>
      <c r="H234" s="444"/>
      <c r="I234" s="444"/>
    </row>
    <row r="235" spans="1:9" ht="15.75" customHeight="1" x14ac:dyDescent="0.3">
      <c r="C235" s="447"/>
      <c r="D235" s="445"/>
      <c r="E235" s="447"/>
      <c r="F235" s="447"/>
      <c r="G235" s="448"/>
      <c r="H235" s="444"/>
      <c r="I235" s="444"/>
    </row>
    <row r="236" spans="1:9" ht="15.75" customHeight="1" x14ac:dyDescent="0.3">
      <c r="C236" s="447"/>
      <c r="D236" s="445"/>
      <c r="E236" s="447"/>
      <c r="F236" s="447"/>
      <c r="G236" s="448"/>
      <c r="H236" s="444"/>
      <c r="I236" s="444"/>
    </row>
    <row r="237" spans="1:9" ht="15.75" customHeight="1" x14ac:dyDescent="0.3">
      <c r="C237" s="447"/>
      <c r="D237" s="445"/>
      <c r="E237" s="447"/>
      <c r="F237" s="447"/>
      <c r="G237" s="448"/>
      <c r="H237" s="444"/>
      <c r="I237" s="444"/>
    </row>
    <row r="238" spans="1:9" ht="15.75" customHeight="1" x14ac:dyDescent="0.3">
      <c r="C238" s="447"/>
      <c r="D238" s="445"/>
      <c r="E238" s="447"/>
      <c r="F238" s="447"/>
      <c r="G238" s="448"/>
      <c r="H238" s="444"/>
      <c r="I238" s="444"/>
    </row>
    <row r="239" spans="1:9" ht="15.75" customHeight="1" x14ac:dyDescent="0.3">
      <c r="C239" s="447"/>
      <c r="D239" s="445"/>
      <c r="E239" s="447"/>
      <c r="F239" s="447"/>
      <c r="G239" s="448"/>
      <c r="H239" s="444"/>
      <c r="I239" s="444"/>
    </row>
    <row r="240" spans="1:9" ht="15.75" customHeight="1" x14ac:dyDescent="0.3">
      <c r="C240" s="447"/>
      <c r="D240" s="445"/>
      <c r="E240" s="447"/>
      <c r="F240" s="447"/>
      <c r="G240" s="448"/>
      <c r="H240" s="444"/>
      <c r="I240" s="444"/>
    </row>
    <row r="241" spans="3:9" ht="15.75" customHeight="1" x14ac:dyDescent="0.3">
      <c r="C241" s="447"/>
      <c r="D241" s="445"/>
      <c r="E241" s="447"/>
      <c r="F241" s="447"/>
      <c r="G241" s="448"/>
      <c r="H241" s="444"/>
      <c r="I241" s="444"/>
    </row>
    <row r="242" spans="3:9" ht="15.75" customHeight="1" x14ac:dyDescent="0.3">
      <c r="C242" s="447"/>
      <c r="D242" s="445"/>
      <c r="E242" s="447"/>
      <c r="F242" s="447"/>
      <c r="G242" s="448"/>
      <c r="H242" s="444"/>
      <c r="I242" s="444"/>
    </row>
    <row r="243" spans="3:9" ht="15.75" customHeight="1" x14ac:dyDescent="0.3">
      <c r="C243" s="447"/>
      <c r="D243" s="445"/>
      <c r="E243" s="447"/>
      <c r="F243" s="447"/>
      <c r="G243" s="448"/>
      <c r="H243" s="444"/>
      <c r="I243" s="444"/>
    </row>
    <row r="244" spans="3:9" ht="15.75" customHeight="1" x14ac:dyDescent="0.3">
      <c r="C244" s="447"/>
      <c r="D244" s="445"/>
      <c r="E244" s="447"/>
      <c r="F244" s="447"/>
      <c r="G244" s="448"/>
      <c r="H244" s="444"/>
      <c r="I244" s="444"/>
    </row>
    <row r="245" spans="3:9" ht="15.75" customHeight="1" x14ac:dyDescent="0.3">
      <c r="C245" s="447"/>
      <c r="D245" s="445"/>
      <c r="E245" s="447"/>
      <c r="F245" s="447"/>
      <c r="G245" s="448"/>
      <c r="H245" s="444"/>
      <c r="I245" s="444"/>
    </row>
    <row r="246" spans="3:9" ht="15.75" customHeight="1" x14ac:dyDescent="0.3">
      <c r="C246" s="447"/>
      <c r="D246" s="445"/>
      <c r="E246" s="447"/>
      <c r="F246" s="447"/>
      <c r="G246" s="448"/>
      <c r="H246" s="444"/>
      <c r="I246" s="444"/>
    </row>
    <row r="247" spans="3:9" ht="15.75" customHeight="1" x14ac:dyDescent="0.3">
      <c r="C247" s="447"/>
      <c r="D247" s="445"/>
      <c r="E247" s="447"/>
      <c r="F247" s="447"/>
      <c r="G247" s="448"/>
      <c r="H247" s="444"/>
      <c r="I247" s="444"/>
    </row>
    <row r="248" spans="3:9" ht="15.75" customHeight="1" x14ac:dyDescent="0.3">
      <c r="C248" s="447"/>
      <c r="D248" s="445"/>
      <c r="E248" s="447"/>
      <c r="F248" s="447"/>
      <c r="G248" s="448"/>
      <c r="H248" s="444"/>
      <c r="I248" s="444"/>
    </row>
    <row r="249" spans="3:9" ht="15.75" customHeight="1" x14ac:dyDescent="0.3">
      <c r="C249" s="447"/>
      <c r="D249" s="445"/>
      <c r="E249" s="447"/>
      <c r="F249" s="447"/>
      <c r="G249" s="448"/>
      <c r="H249" s="444"/>
      <c r="I249" s="444"/>
    </row>
    <row r="250" spans="3:9" ht="15.75" customHeight="1" x14ac:dyDescent="0.3">
      <c r="C250" s="447"/>
      <c r="D250" s="445"/>
      <c r="E250" s="447"/>
      <c r="F250" s="447"/>
      <c r="G250" s="448"/>
      <c r="H250" s="444"/>
      <c r="I250" s="444"/>
    </row>
    <row r="251" spans="3:9" ht="15.75" customHeight="1" x14ac:dyDescent="0.3">
      <c r="C251" s="447"/>
      <c r="D251" s="445"/>
      <c r="E251" s="447"/>
      <c r="F251" s="447"/>
      <c r="G251" s="448"/>
      <c r="H251" s="444"/>
      <c r="I251" s="444"/>
    </row>
    <row r="252" spans="3:9" ht="15.75" customHeight="1" x14ac:dyDescent="0.3">
      <c r="C252" s="447"/>
      <c r="D252" s="445"/>
      <c r="E252" s="447"/>
      <c r="F252" s="447"/>
      <c r="G252" s="448"/>
      <c r="H252" s="444"/>
      <c r="I252" s="444"/>
    </row>
    <row r="253" spans="3:9" ht="15.75" customHeight="1" x14ac:dyDescent="0.3">
      <c r="C253" s="447"/>
      <c r="D253" s="445"/>
      <c r="E253" s="447"/>
      <c r="F253" s="447"/>
      <c r="G253" s="448"/>
      <c r="H253" s="444"/>
      <c r="I253" s="444"/>
    </row>
    <row r="254" spans="3:9" ht="15.75" customHeight="1" x14ac:dyDescent="0.3">
      <c r="C254" s="447"/>
      <c r="D254" s="445"/>
      <c r="E254" s="447"/>
      <c r="F254" s="447"/>
      <c r="G254" s="448"/>
      <c r="H254" s="444"/>
      <c r="I254" s="444"/>
    </row>
    <row r="255" spans="3:9" ht="15.75" customHeight="1" x14ac:dyDescent="0.3">
      <c r="C255" s="447"/>
      <c r="D255" s="445"/>
      <c r="E255" s="447"/>
      <c r="F255" s="447"/>
      <c r="G255" s="448"/>
      <c r="H255" s="444"/>
      <c r="I255" s="444"/>
    </row>
    <row r="256" spans="3:9" ht="15.75" customHeight="1" x14ac:dyDescent="0.3">
      <c r="C256" s="447"/>
      <c r="D256" s="445"/>
      <c r="E256" s="447"/>
      <c r="F256" s="447"/>
      <c r="G256" s="448"/>
      <c r="H256" s="444"/>
      <c r="I256" s="444"/>
    </row>
    <row r="257" spans="3:9" ht="15.75" customHeight="1" x14ac:dyDescent="0.3">
      <c r="C257" s="447"/>
      <c r="D257" s="445"/>
      <c r="E257" s="447"/>
      <c r="F257" s="447"/>
      <c r="G257" s="448"/>
      <c r="H257" s="444"/>
      <c r="I257" s="444"/>
    </row>
    <row r="258" spans="3:9" ht="15.75" customHeight="1" x14ac:dyDescent="0.3">
      <c r="C258" s="447"/>
      <c r="D258" s="445"/>
      <c r="E258" s="447"/>
      <c r="F258" s="447"/>
      <c r="G258" s="448"/>
      <c r="H258" s="444"/>
      <c r="I258" s="444"/>
    </row>
    <row r="259" spans="3:9" ht="15.75" customHeight="1" x14ac:dyDescent="0.3">
      <c r="C259" s="447"/>
      <c r="D259" s="445"/>
      <c r="E259" s="447"/>
      <c r="F259" s="447"/>
      <c r="G259" s="448"/>
      <c r="H259" s="444"/>
      <c r="I259" s="444"/>
    </row>
    <row r="260" spans="3:9" ht="15.75" customHeight="1" x14ac:dyDescent="0.3">
      <c r="C260" s="447"/>
      <c r="D260" s="445"/>
      <c r="E260" s="447"/>
      <c r="F260" s="447"/>
      <c r="G260" s="448"/>
      <c r="H260" s="444"/>
      <c r="I260" s="444"/>
    </row>
    <row r="261" spans="3:9" ht="15.75" customHeight="1" x14ac:dyDescent="0.3">
      <c r="C261" s="447"/>
      <c r="D261" s="445"/>
      <c r="E261" s="447"/>
      <c r="F261" s="447"/>
      <c r="G261" s="448"/>
      <c r="H261" s="444"/>
      <c r="I261" s="444"/>
    </row>
    <row r="262" spans="3:9" ht="15.75" customHeight="1" x14ac:dyDescent="0.3">
      <c r="C262" s="447"/>
      <c r="D262" s="445"/>
      <c r="E262" s="447"/>
      <c r="F262" s="447"/>
      <c r="G262" s="448"/>
      <c r="H262" s="444"/>
      <c r="I262" s="444"/>
    </row>
    <row r="263" spans="3:9" ht="15.75" customHeight="1" x14ac:dyDescent="0.3">
      <c r="C263" s="447"/>
      <c r="D263" s="445"/>
      <c r="E263" s="447"/>
      <c r="F263" s="447"/>
      <c r="G263" s="448"/>
      <c r="H263" s="444"/>
      <c r="I263" s="444"/>
    </row>
    <row r="264" spans="3:9" ht="15.75" customHeight="1" x14ac:dyDescent="0.3">
      <c r="C264" s="447"/>
      <c r="D264" s="445"/>
      <c r="E264" s="447"/>
      <c r="F264" s="447"/>
      <c r="G264" s="448"/>
      <c r="H264" s="444"/>
      <c r="I264" s="444"/>
    </row>
    <row r="265" spans="3:9" ht="15.75" customHeight="1" x14ac:dyDescent="0.3">
      <c r="C265" s="447"/>
      <c r="D265" s="445"/>
      <c r="E265" s="447"/>
      <c r="F265" s="447"/>
      <c r="G265" s="448"/>
      <c r="H265" s="444"/>
      <c r="I265" s="444"/>
    </row>
    <row r="266" spans="3:9" ht="15.75" customHeight="1" x14ac:dyDescent="0.3">
      <c r="C266" s="447"/>
      <c r="D266" s="445"/>
      <c r="E266" s="447"/>
      <c r="F266" s="447"/>
      <c r="G266" s="448"/>
      <c r="H266" s="444"/>
      <c r="I266" s="444"/>
    </row>
    <row r="267" spans="3:9" ht="15.75" customHeight="1" x14ac:dyDescent="0.3">
      <c r="C267" s="447"/>
      <c r="D267" s="445"/>
      <c r="E267" s="447"/>
      <c r="F267" s="447"/>
      <c r="G267" s="448"/>
      <c r="H267" s="444"/>
      <c r="I267" s="444"/>
    </row>
    <row r="268" spans="3:9" ht="15.75" customHeight="1" x14ac:dyDescent="0.3">
      <c r="C268" s="447"/>
      <c r="D268" s="445"/>
      <c r="E268" s="447"/>
      <c r="F268" s="447"/>
      <c r="G268" s="448"/>
      <c r="H268" s="444"/>
      <c r="I268" s="444"/>
    </row>
    <row r="269" spans="3:9" ht="15.75" customHeight="1" x14ac:dyDescent="0.3">
      <c r="C269" s="447"/>
      <c r="D269" s="445"/>
      <c r="E269" s="447"/>
      <c r="F269" s="447"/>
      <c r="G269" s="448"/>
      <c r="H269" s="444"/>
      <c r="I269" s="444"/>
    </row>
    <row r="270" spans="3:9" ht="15.75" customHeight="1" x14ac:dyDescent="0.3">
      <c r="C270" s="447"/>
      <c r="D270" s="445"/>
      <c r="E270" s="447"/>
      <c r="F270" s="447"/>
      <c r="G270" s="448"/>
      <c r="H270" s="444"/>
      <c r="I270" s="444"/>
    </row>
  </sheetData>
  <sortState xmlns:xlrd2="http://schemas.microsoft.com/office/spreadsheetml/2017/richdata2" ref="C114:D203">
    <sortCondition ref="D114:D203"/>
  </sortState>
  <mergeCells count="97">
    <mergeCell ref="B6:C6"/>
    <mergeCell ref="B7:C7"/>
    <mergeCell ref="B41:C41"/>
    <mergeCell ref="B44:C44"/>
    <mergeCell ref="B32:C32"/>
    <mergeCell ref="B33:C33"/>
    <mergeCell ref="B34:C34"/>
    <mergeCell ref="B8:C8"/>
    <mergeCell ref="B15:C15"/>
    <mergeCell ref="B9:C9"/>
    <mergeCell ref="B18:C18"/>
    <mergeCell ref="B12:C12"/>
    <mergeCell ref="B14:C14"/>
    <mergeCell ref="B16:C16"/>
    <mergeCell ref="B13:C13"/>
    <mergeCell ref="A1:Q2"/>
    <mergeCell ref="D4:H4"/>
    <mergeCell ref="I4:I5"/>
    <mergeCell ref="B4:C5"/>
    <mergeCell ref="C101:J101"/>
    <mergeCell ref="C99:J99"/>
    <mergeCell ref="C100:J100"/>
    <mergeCell ref="B17:C17"/>
    <mergeCell ref="B20:C20"/>
    <mergeCell ref="B21:C21"/>
    <mergeCell ref="B28:C28"/>
    <mergeCell ref="B29:C29"/>
    <mergeCell ref="B22:C22"/>
    <mergeCell ref="B71:C71"/>
    <mergeCell ref="B39:C39"/>
    <mergeCell ref="B40:C40"/>
    <mergeCell ref="B11:C11"/>
    <mergeCell ref="B48:C48"/>
    <mergeCell ref="B42:C42"/>
    <mergeCell ref="B43:C43"/>
    <mergeCell ref="B23:C23"/>
    <mergeCell ref="B37:C37"/>
    <mergeCell ref="B25:C25"/>
    <mergeCell ref="B26:C26"/>
    <mergeCell ref="B27:C27"/>
    <mergeCell ref="B24:C24"/>
    <mergeCell ref="B31:C31"/>
    <mergeCell ref="B30:C30"/>
    <mergeCell ref="B45:C45"/>
    <mergeCell ref="B65:C65"/>
    <mergeCell ref="B67:C67"/>
    <mergeCell ref="B68:C68"/>
    <mergeCell ref="B10:C10"/>
    <mergeCell ref="B79:C79"/>
    <mergeCell ref="B60:C60"/>
    <mergeCell ref="B50:C50"/>
    <mergeCell ref="B47:C47"/>
    <mergeCell ref="B46:C46"/>
    <mergeCell ref="B51:C51"/>
    <mergeCell ref="B35:C35"/>
    <mergeCell ref="B36:C36"/>
    <mergeCell ref="B38:C38"/>
    <mergeCell ref="B53:C53"/>
    <mergeCell ref="B52:C52"/>
    <mergeCell ref="B19:C19"/>
    <mergeCell ref="B83:C83"/>
    <mergeCell ref="B85:C85"/>
    <mergeCell ref="B84:C84"/>
    <mergeCell ref="B82:C82"/>
    <mergeCell ref="B49:C49"/>
    <mergeCell ref="B61:C61"/>
    <mergeCell ref="B62:C62"/>
    <mergeCell ref="B63:C63"/>
    <mergeCell ref="B66:C66"/>
    <mergeCell ref="B64:C64"/>
    <mergeCell ref="B57:C57"/>
    <mergeCell ref="B58:C58"/>
    <mergeCell ref="B59:C59"/>
    <mergeCell ref="B56:C56"/>
    <mergeCell ref="B55:C55"/>
    <mergeCell ref="B54:C54"/>
    <mergeCell ref="B73:C73"/>
    <mergeCell ref="B75:C75"/>
    <mergeCell ref="B76:C76"/>
    <mergeCell ref="B80:C80"/>
    <mergeCell ref="B74:C74"/>
    <mergeCell ref="B69:C69"/>
    <mergeCell ref="B95:C95"/>
    <mergeCell ref="B87:C87"/>
    <mergeCell ref="B88:C88"/>
    <mergeCell ref="B89:C89"/>
    <mergeCell ref="B90:C90"/>
    <mergeCell ref="B92:C92"/>
    <mergeCell ref="B93:C93"/>
    <mergeCell ref="B91:C91"/>
    <mergeCell ref="B94:C94"/>
    <mergeCell ref="B70:C70"/>
    <mergeCell ref="B78:C78"/>
    <mergeCell ref="B77:C77"/>
    <mergeCell ref="B86:C86"/>
    <mergeCell ref="B81:C81"/>
    <mergeCell ref="B72:C72"/>
  </mergeCells>
  <phoneticPr fontId="73" type="noConversion"/>
  <pageMargins left="0.7" right="0.7" top="0.75" bottom="0.75" header="0.3" footer="0.3"/>
  <pageSetup paperSize="9" orientation="portrait" horizontalDpi="300" verticalDpi="300" r:id="rId1"/>
  <ignoredErrors>
    <ignoredError sqref="B98:B1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9"/>
  <dimension ref="A1:O5"/>
  <sheetViews>
    <sheetView showGridLines="0" showRowColHeaders="0" zoomScaleNormal="100" workbookViewId="0">
      <selection activeCell="I12" sqref="I12"/>
    </sheetView>
  </sheetViews>
  <sheetFormatPr baseColWidth="10" defaultColWidth="11.42578125" defaultRowHeight="16.5" x14ac:dyDescent="0.3"/>
  <cols>
    <col min="1" max="2" width="11.42578125" style="432"/>
    <col min="3" max="3" width="20.7109375" style="432" customWidth="1"/>
    <col min="4" max="5" width="11.42578125" style="432"/>
    <col min="6" max="6" width="8.7109375" style="432" customWidth="1"/>
    <col min="7" max="12" width="11.42578125" style="432"/>
    <col min="13" max="13" width="14" style="432" customWidth="1"/>
    <col min="14" max="14" width="11.42578125" style="432"/>
    <col min="15" max="15" width="18" style="432" customWidth="1"/>
    <col min="16" max="16384" width="11.42578125" style="432"/>
  </cols>
  <sheetData>
    <row r="1" spans="1:15" s="431" customFormat="1" ht="48" customHeight="1" x14ac:dyDescent="0.3">
      <c r="A1" s="783" t="s">
        <v>629</v>
      </c>
      <c r="B1" s="784"/>
      <c r="C1" s="784"/>
      <c r="D1" s="784"/>
      <c r="E1" s="784"/>
      <c r="F1" s="784"/>
      <c r="G1" s="784"/>
      <c r="H1" s="784"/>
      <c r="I1" s="784"/>
      <c r="J1" s="784"/>
      <c r="K1" s="784"/>
      <c r="L1" s="784"/>
      <c r="M1" s="784"/>
      <c r="N1" s="784"/>
      <c r="O1" s="784"/>
    </row>
    <row r="2" spans="1:15" ht="34.5" customHeight="1" x14ac:dyDescent="0.3"/>
    <row r="3" spans="1:15" s="433" customFormat="1" ht="39.75" customHeight="1" x14ac:dyDescent="0.25">
      <c r="B3" s="434" t="s">
        <v>400</v>
      </c>
      <c r="C3" s="434" t="s">
        <v>630</v>
      </c>
      <c r="D3" s="785" t="s">
        <v>401</v>
      </c>
      <c r="E3" s="785"/>
      <c r="F3" s="785"/>
      <c r="G3" s="785"/>
      <c r="H3" s="785"/>
      <c r="I3" s="785"/>
      <c r="J3" s="785"/>
      <c r="K3" s="785"/>
      <c r="L3" s="785"/>
      <c r="M3" s="785"/>
      <c r="N3" s="785"/>
      <c r="O3" s="785"/>
    </row>
    <row r="4" spans="1:15" ht="37.5" customHeight="1" x14ac:dyDescent="0.3">
      <c r="B4" s="454" t="s">
        <v>402</v>
      </c>
      <c r="C4" s="455">
        <v>44501</v>
      </c>
      <c r="D4" s="786" t="s">
        <v>632</v>
      </c>
      <c r="E4" s="786"/>
      <c r="F4" s="786"/>
      <c r="G4" s="786"/>
      <c r="H4" s="786"/>
      <c r="I4" s="786"/>
      <c r="J4" s="786"/>
      <c r="K4" s="786"/>
      <c r="L4" s="786"/>
      <c r="M4" s="786"/>
      <c r="N4" s="786"/>
      <c r="O4" s="786"/>
    </row>
    <row r="5" spans="1:15" ht="33" customHeight="1" x14ac:dyDescent="0.3">
      <c r="B5" s="454" t="s">
        <v>658</v>
      </c>
      <c r="C5" s="455">
        <v>44523</v>
      </c>
      <c r="D5" s="786" t="s">
        <v>665</v>
      </c>
      <c r="E5" s="786"/>
      <c r="F5" s="786"/>
      <c r="G5" s="786"/>
      <c r="H5" s="786"/>
      <c r="I5" s="786"/>
      <c r="J5" s="786"/>
      <c r="K5" s="786"/>
      <c r="L5" s="786"/>
      <c r="M5" s="786"/>
      <c r="N5" s="786"/>
      <c r="O5" s="786"/>
    </row>
  </sheetData>
  <mergeCells count="4">
    <mergeCell ref="A1:O1"/>
    <mergeCell ref="D3:O3"/>
    <mergeCell ref="D4:O4"/>
    <mergeCell ref="D5:O5"/>
  </mergeCells>
  <phoneticPr fontId="73" type="noConversion"/>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dimension ref="A1:D7"/>
  <sheetViews>
    <sheetView workbookViewId="0">
      <selection activeCell="D22" sqref="D22"/>
    </sheetView>
  </sheetViews>
  <sheetFormatPr baseColWidth="10" defaultRowHeight="15" x14ac:dyDescent="0.25"/>
  <cols>
    <col min="1" max="1" width="2.5703125" bestFit="1" customWidth="1"/>
    <col min="2" max="2" width="22.7109375" bestFit="1" customWidth="1"/>
    <col min="3" max="3" width="112.42578125" customWidth="1"/>
    <col min="4" max="4" width="70.42578125" bestFit="1" customWidth="1"/>
  </cols>
  <sheetData>
    <row r="1" spans="1:4" x14ac:dyDescent="0.25">
      <c r="B1" s="787" t="s">
        <v>101</v>
      </c>
      <c r="C1" s="787"/>
      <c r="D1" s="11" t="s">
        <v>102</v>
      </c>
    </row>
    <row r="2" spans="1:4" s="8" customFormat="1" ht="45.75" customHeight="1" x14ac:dyDescent="0.25">
      <c r="A2" s="10" t="s">
        <v>87</v>
      </c>
      <c r="B2" s="10" t="s">
        <v>81</v>
      </c>
      <c r="C2" s="202" t="s">
        <v>77</v>
      </c>
      <c r="D2" s="22" t="s">
        <v>127</v>
      </c>
    </row>
    <row r="3" spans="1:4" s="8" customFormat="1" ht="45.75" customHeight="1" x14ac:dyDescent="0.25">
      <c r="A3" s="10" t="s">
        <v>88</v>
      </c>
      <c r="B3" s="10" t="s">
        <v>82</v>
      </c>
      <c r="C3" s="202" t="s">
        <v>78</v>
      </c>
      <c r="D3" s="7"/>
    </row>
    <row r="4" spans="1:4" s="8" customFormat="1" ht="45.75" customHeight="1" x14ac:dyDescent="0.25">
      <c r="A4" s="10" t="s">
        <v>89</v>
      </c>
      <c r="B4" s="10" t="s">
        <v>83</v>
      </c>
      <c r="C4" s="9" t="s">
        <v>79</v>
      </c>
      <c r="D4" s="7"/>
    </row>
    <row r="5" spans="1:4" s="8" customFormat="1" ht="45.75" customHeight="1" x14ac:dyDescent="0.25">
      <c r="A5" s="10" t="s">
        <v>90</v>
      </c>
      <c r="B5" s="10" t="s">
        <v>84</v>
      </c>
      <c r="C5" s="9" t="s">
        <v>80</v>
      </c>
      <c r="D5" s="7"/>
    </row>
    <row r="6" spans="1:4" s="8" customFormat="1" ht="45.75" customHeight="1" x14ac:dyDescent="0.25">
      <c r="A6" s="10" t="s">
        <v>91</v>
      </c>
      <c r="B6" s="10" t="s">
        <v>86</v>
      </c>
      <c r="C6" s="202" t="s">
        <v>294</v>
      </c>
      <c r="D6" s="7"/>
    </row>
    <row r="7" spans="1:4" s="8" customFormat="1" ht="45.75" customHeight="1" x14ac:dyDescent="0.25">
      <c r="A7" s="10" t="s">
        <v>92</v>
      </c>
      <c r="B7" s="10" t="s">
        <v>85</v>
      </c>
      <c r="C7" s="202" t="s">
        <v>295</v>
      </c>
      <c r="D7" s="7"/>
    </row>
  </sheetData>
  <mergeCells count="1">
    <mergeCell ref="B1:C1"/>
  </mergeCells>
  <phoneticPr fontId="7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filterMode="1"/>
  <dimension ref="A1:Z199"/>
  <sheetViews>
    <sheetView topLeftCell="A72" workbookViewId="0">
      <selection activeCell="A97" sqref="A97:B97"/>
    </sheetView>
  </sheetViews>
  <sheetFormatPr baseColWidth="10" defaultRowHeight="15" x14ac:dyDescent="0.25"/>
  <cols>
    <col min="1" max="1" width="32.140625" bestFit="1" customWidth="1"/>
    <col min="2" max="2" width="44" style="83" bestFit="1" customWidth="1"/>
    <col min="3" max="3" width="9.42578125" style="20" hidden="1" customWidth="1"/>
    <col min="4" max="4" width="10.5703125" style="20" bestFit="1" customWidth="1"/>
    <col min="5" max="5" width="8.5703125" style="20" hidden="1" customWidth="1"/>
    <col min="6" max="6" width="10.5703125" style="20" bestFit="1" customWidth="1"/>
    <col min="7" max="7" width="8.5703125" style="20" hidden="1" customWidth="1"/>
    <col min="8" max="8" width="10.5703125" style="20" bestFit="1" customWidth="1"/>
    <col min="9" max="9" width="8.5703125" style="20" hidden="1" customWidth="1"/>
    <col min="10" max="10" width="10.5703125" style="20" bestFit="1" customWidth="1"/>
    <col min="11" max="11" width="8.5703125" style="20" hidden="1" customWidth="1"/>
    <col min="12" max="12" width="10.5703125" style="20" bestFit="1" customWidth="1"/>
    <col min="13" max="13" width="23.42578125" style="107" bestFit="1" customWidth="1"/>
    <col min="14" max="14" width="65" bestFit="1" customWidth="1"/>
    <col min="15" max="15" width="16.140625" bestFit="1" customWidth="1"/>
    <col min="16" max="16" width="10" bestFit="1" customWidth="1"/>
    <col min="17" max="20" width="8.140625" bestFit="1" customWidth="1"/>
    <col min="21" max="21" width="9.140625" bestFit="1" customWidth="1"/>
    <col min="22" max="25" width="8.140625" bestFit="1" customWidth="1"/>
    <col min="26" max="26" width="9.140625" bestFit="1" customWidth="1"/>
  </cols>
  <sheetData>
    <row r="1" spans="1:26" x14ac:dyDescent="0.25">
      <c r="O1" s="795" t="s">
        <v>240</v>
      </c>
      <c r="P1" s="796"/>
      <c r="Q1" s="789" t="s">
        <v>241</v>
      </c>
      <c r="R1" s="790"/>
      <c r="S1" s="790"/>
      <c r="T1" s="790"/>
      <c r="U1" s="790"/>
      <c r="V1" s="790"/>
      <c r="W1" s="790"/>
      <c r="X1" s="790"/>
      <c r="Y1" s="790"/>
      <c r="Z1" s="791"/>
    </row>
    <row r="2" spans="1:26" ht="18" x14ac:dyDescent="0.35">
      <c r="O2" s="797"/>
      <c r="P2" s="798"/>
      <c r="Q2" s="794" t="s">
        <v>234</v>
      </c>
      <c r="R2" s="794"/>
      <c r="S2" s="794"/>
      <c r="T2" s="794"/>
      <c r="U2" s="794"/>
      <c r="V2" s="794" t="s">
        <v>242</v>
      </c>
      <c r="W2" s="794"/>
      <c r="X2" s="794"/>
      <c r="Y2" s="794"/>
      <c r="Z2" s="794"/>
    </row>
    <row r="3" spans="1:26" ht="37.5" customHeight="1" x14ac:dyDescent="0.25">
      <c r="A3" s="58" t="s">
        <v>93</v>
      </c>
      <c r="B3" s="58" t="s">
        <v>99</v>
      </c>
      <c r="C3" s="14" t="s">
        <v>109</v>
      </c>
      <c r="D3" s="14" t="s">
        <v>114</v>
      </c>
      <c r="E3" s="15" t="s">
        <v>110</v>
      </c>
      <c r="F3" s="15" t="s">
        <v>115</v>
      </c>
      <c r="G3" s="16" t="s">
        <v>111</v>
      </c>
      <c r="H3" s="16" t="s">
        <v>116</v>
      </c>
      <c r="I3" s="17" t="s">
        <v>113</v>
      </c>
      <c r="J3" s="17" t="s">
        <v>117</v>
      </c>
      <c r="K3" s="18" t="s">
        <v>112</v>
      </c>
      <c r="L3" s="18" t="s">
        <v>118</v>
      </c>
      <c r="M3" s="58" t="s">
        <v>75</v>
      </c>
      <c r="N3" s="11" t="s">
        <v>76</v>
      </c>
      <c r="O3" s="136" t="s">
        <v>232</v>
      </c>
      <c r="P3" s="137" t="s">
        <v>233</v>
      </c>
      <c r="Q3" s="14" t="s">
        <v>235</v>
      </c>
      <c r="R3" s="15" t="s">
        <v>236</v>
      </c>
      <c r="S3" s="16" t="s">
        <v>237</v>
      </c>
      <c r="T3" s="17" t="s">
        <v>238</v>
      </c>
      <c r="U3" s="18" t="s">
        <v>239</v>
      </c>
      <c r="V3" s="14" t="s">
        <v>235</v>
      </c>
      <c r="W3" s="15" t="s">
        <v>236</v>
      </c>
      <c r="X3" s="16" t="s">
        <v>237</v>
      </c>
      <c r="Y3" s="17" t="s">
        <v>238</v>
      </c>
      <c r="Z3" s="18" t="s">
        <v>239</v>
      </c>
    </row>
    <row r="4" spans="1:26" hidden="1" x14ac:dyDescent="0.25">
      <c r="A4" s="74" t="s">
        <v>3</v>
      </c>
      <c r="B4" s="88" t="s">
        <v>203</v>
      </c>
      <c r="C4" s="29">
        <v>4.1428571428571433E-2</v>
      </c>
      <c r="D4" s="29">
        <v>5.4809516666666669E-2</v>
      </c>
      <c r="E4" s="29">
        <v>5.1785714285714289E-2</v>
      </c>
      <c r="F4" s="29">
        <v>6.8511895833333336E-2</v>
      </c>
      <c r="G4" s="29">
        <v>6.2142857142857146E-2</v>
      </c>
      <c r="H4" s="29">
        <v>8.2214275000000003E-2</v>
      </c>
      <c r="I4" s="29">
        <v>7.2499999999999995E-2</v>
      </c>
      <c r="J4" s="29">
        <v>9.5916654166666657E-2</v>
      </c>
      <c r="K4" s="29">
        <v>8.2857142857142865E-2</v>
      </c>
      <c r="L4" s="29">
        <v>0.10961903333333334</v>
      </c>
      <c r="M4" s="130" t="s">
        <v>128</v>
      </c>
      <c r="N4" s="35" t="s">
        <v>129</v>
      </c>
      <c r="O4" s="135">
        <v>1000</v>
      </c>
      <c r="P4" s="135">
        <v>1</v>
      </c>
      <c r="Q4" s="33">
        <f>D4*O4</f>
        <v>54.809516666666667</v>
      </c>
      <c r="R4" s="33">
        <f>F4*O4</f>
        <v>68.511895833333341</v>
      </c>
      <c r="S4" s="33">
        <f>H4*O4</f>
        <v>82.214275000000001</v>
      </c>
      <c r="T4" s="33">
        <f>J4*O4</f>
        <v>95.91665416666666</v>
      </c>
      <c r="U4" s="33">
        <f>L4*O4</f>
        <v>109.61903333333333</v>
      </c>
      <c r="V4" s="33">
        <f>Q4/P4</f>
        <v>54.809516666666667</v>
      </c>
      <c r="W4" s="33">
        <f>R4/P4</f>
        <v>68.511895833333341</v>
      </c>
      <c r="X4" s="33">
        <f>S4/P4</f>
        <v>82.214275000000001</v>
      </c>
      <c r="Y4" s="33">
        <f>T4/P4</f>
        <v>95.91665416666666</v>
      </c>
      <c r="Z4" s="33">
        <f>U4/P4</f>
        <v>109.61903333333333</v>
      </c>
    </row>
    <row r="5" spans="1:26" hidden="1" x14ac:dyDescent="0.25">
      <c r="A5" s="75" t="s">
        <v>3</v>
      </c>
      <c r="B5" s="77" t="s">
        <v>199</v>
      </c>
      <c r="C5" s="28">
        <v>4.8031274739990908E-2</v>
      </c>
      <c r="D5" s="28">
        <v>6.3544816116135994E-2</v>
      </c>
      <c r="E5" s="28">
        <v>6.0039093424988636E-2</v>
      </c>
      <c r="F5" s="28">
        <v>7.943102014517002E-2</v>
      </c>
      <c r="G5" s="28">
        <v>7.2046912109986358E-2</v>
      </c>
      <c r="H5" s="28">
        <v>9.5317224174204004E-2</v>
      </c>
      <c r="I5" s="28">
        <v>8.4054730794984087E-2</v>
      </c>
      <c r="J5" s="28">
        <v>0.111203428203238</v>
      </c>
      <c r="K5" s="28">
        <v>9.6062549479981815E-2</v>
      </c>
      <c r="L5" s="28">
        <v>0.12708963223227199</v>
      </c>
      <c r="M5" s="131" t="s">
        <v>198</v>
      </c>
      <c r="N5" s="35"/>
      <c r="O5" s="135">
        <v>1000</v>
      </c>
      <c r="P5" s="135">
        <v>1</v>
      </c>
      <c r="Q5" s="33">
        <f t="shared" ref="Q5:Q67" si="0">D5*O5</f>
        <v>63.544816116135991</v>
      </c>
      <c r="R5" s="33">
        <f t="shared" ref="R5:R67" si="1">F5*O5</f>
        <v>79.431020145170024</v>
      </c>
      <c r="S5" s="33">
        <f t="shared" ref="S5:S67" si="2">H5*O5</f>
        <v>95.317224174204</v>
      </c>
      <c r="T5" s="33">
        <f t="shared" ref="T5:T67" si="3">J5*O5</f>
        <v>111.203428203238</v>
      </c>
      <c r="U5" s="33">
        <f t="shared" ref="U5:U67" si="4">L5*O5</f>
        <v>127.08963223227198</v>
      </c>
      <c r="V5" s="33">
        <f t="shared" ref="V5:V67" si="5">Q5/P5</f>
        <v>63.544816116135991</v>
      </c>
      <c r="W5" s="33">
        <f t="shared" ref="W5:W67" si="6">R5/P5</f>
        <v>79.431020145170024</v>
      </c>
      <c r="X5" s="33">
        <f t="shared" ref="X5:X67" si="7">S5/P5</f>
        <v>95.317224174204</v>
      </c>
      <c r="Y5" s="33">
        <f t="shared" ref="Y5:Y67" si="8">T5/P5</f>
        <v>111.203428203238</v>
      </c>
      <c r="Z5" s="33">
        <f t="shared" ref="Z5:Z67" si="9">U5/P5</f>
        <v>127.08963223227198</v>
      </c>
    </row>
    <row r="6" spans="1:26" hidden="1" x14ac:dyDescent="0.25">
      <c r="A6" s="73" t="s">
        <v>167</v>
      </c>
      <c r="B6" s="77" t="s">
        <v>199</v>
      </c>
      <c r="C6" s="28">
        <v>0.16582986056660684</v>
      </c>
      <c r="D6" s="28">
        <v>0.21939097084791426</v>
      </c>
      <c r="E6" s="28">
        <v>0.20728732570825856</v>
      </c>
      <c r="F6" s="28">
        <v>0.27423871355989282</v>
      </c>
      <c r="G6" s="28">
        <v>0.24874479084991025</v>
      </c>
      <c r="H6" s="28">
        <v>0.32908645627187133</v>
      </c>
      <c r="I6" s="28">
        <v>0.29020225599156196</v>
      </c>
      <c r="J6" s="28">
        <v>0.38393419898384989</v>
      </c>
      <c r="K6" s="28">
        <v>0.33165972113321368</v>
      </c>
      <c r="L6" s="28">
        <v>0.43878194169582851</v>
      </c>
      <c r="M6" s="131" t="s">
        <v>198</v>
      </c>
      <c r="N6" s="35"/>
      <c r="O6" s="135">
        <v>1000</v>
      </c>
      <c r="P6" s="135">
        <v>1</v>
      </c>
      <c r="Q6" s="33">
        <f t="shared" si="0"/>
        <v>219.39097084791425</v>
      </c>
      <c r="R6" s="33">
        <f t="shared" si="1"/>
        <v>274.2387135598928</v>
      </c>
      <c r="S6" s="33">
        <f t="shared" si="2"/>
        <v>329.08645627187133</v>
      </c>
      <c r="T6" s="33">
        <f t="shared" si="3"/>
        <v>383.93419898384991</v>
      </c>
      <c r="U6" s="33">
        <f t="shared" si="4"/>
        <v>438.78194169582849</v>
      </c>
      <c r="V6" s="33">
        <f t="shared" si="5"/>
        <v>219.39097084791425</v>
      </c>
      <c r="W6" s="33">
        <f t="shared" si="6"/>
        <v>274.2387135598928</v>
      </c>
      <c r="X6" s="33">
        <f t="shared" si="7"/>
        <v>329.08645627187133</v>
      </c>
      <c r="Y6" s="33">
        <f t="shared" si="8"/>
        <v>383.93419898384991</v>
      </c>
      <c r="Z6" s="33">
        <f t="shared" si="9"/>
        <v>438.78194169582849</v>
      </c>
    </row>
    <row r="7" spans="1:26" hidden="1" x14ac:dyDescent="0.25">
      <c r="A7" s="73" t="s">
        <v>4</v>
      </c>
      <c r="B7" s="77" t="s">
        <v>199</v>
      </c>
      <c r="C7" s="28">
        <v>1.3848916202570057E-2</v>
      </c>
      <c r="D7" s="28">
        <v>3.0548862620709202E-2</v>
      </c>
      <c r="E7" s="28">
        <v>1.7311145253212572E-2</v>
      </c>
      <c r="F7" s="28">
        <v>3.8186078275886506E-2</v>
      </c>
      <c r="G7" s="28">
        <v>2.0773374303855088E-2</v>
      </c>
      <c r="H7" s="28">
        <v>4.582329393106381E-2</v>
      </c>
      <c r="I7" s="28">
        <v>2.4235603354497599E-2</v>
      </c>
      <c r="J7" s="28">
        <v>5.3460509586241108E-2</v>
      </c>
      <c r="K7" s="28">
        <v>2.7697832405140115E-2</v>
      </c>
      <c r="L7" s="28">
        <v>6.1097725241418405E-2</v>
      </c>
      <c r="M7" s="131" t="s">
        <v>198</v>
      </c>
      <c r="N7" s="35"/>
      <c r="O7" s="135">
        <v>1000</v>
      </c>
      <c r="P7" s="135">
        <v>1</v>
      </c>
      <c r="Q7" s="33">
        <f t="shared" si="0"/>
        <v>30.548862620709201</v>
      </c>
      <c r="R7" s="33">
        <f t="shared" si="1"/>
        <v>38.186078275886508</v>
      </c>
      <c r="S7" s="33">
        <f t="shared" si="2"/>
        <v>45.823293931063809</v>
      </c>
      <c r="T7" s="33">
        <f t="shared" si="3"/>
        <v>53.460509586241109</v>
      </c>
      <c r="U7" s="33">
        <f t="shared" si="4"/>
        <v>61.097725241418402</v>
      </c>
      <c r="V7" s="33">
        <f t="shared" si="5"/>
        <v>30.548862620709201</v>
      </c>
      <c r="W7" s="33">
        <f t="shared" si="6"/>
        <v>38.186078275886508</v>
      </c>
      <c r="X7" s="33">
        <f t="shared" si="7"/>
        <v>45.823293931063809</v>
      </c>
      <c r="Y7" s="33">
        <f t="shared" si="8"/>
        <v>53.460509586241109</v>
      </c>
      <c r="Z7" s="33">
        <f t="shared" si="9"/>
        <v>61.097725241418402</v>
      </c>
    </row>
    <row r="8" spans="1:26" hidden="1" x14ac:dyDescent="0.25">
      <c r="A8" s="73" t="s">
        <v>141</v>
      </c>
      <c r="B8" s="77" t="s">
        <v>199</v>
      </c>
      <c r="C8" s="28">
        <v>5.0088755536270436E-2</v>
      </c>
      <c r="D8" s="28">
        <v>0.14975536130234138</v>
      </c>
      <c r="E8" s="28">
        <v>6.2610944420338044E-2</v>
      </c>
      <c r="F8" s="28">
        <v>0.18719420162792669</v>
      </c>
      <c r="G8" s="28">
        <v>7.5133133304405658E-2</v>
      </c>
      <c r="H8" s="28">
        <v>0.22463304195351205</v>
      </c>
      <c r="I8" s="28">
        <v>8.7655322188473273E-2</v>
      </c>
      <c r="J8" s="28">
        <v>0.26207188227909739</v>
      </c>
      <c r="K8" s="28">
        <v>0.10017751107254087</v>
      </c>
      <c r="L8" s="28">
        <v>0.29951072260468276</v>
      </c>
      <c r="M8" s="131" t="s">
        <v>198</v>
      </c>
      <c r="N8" s="35"/>
      <c r="O8" s="135">
        <v>1000</v>
      </c>
      <c r="P8" s="135">
        <v>1</v>
      </c>
      <c r="Q8" s="33">
        <f t="shared" si="0"/>
        <v>149.75536130234138</v>
      </c>
      <c r="R8" s="33">
        <f t="shared" si="1"/>
        <v>187.19420162792667</v>
      </c>
      <c r="S8" s="33">
        <f t="shared" si="2"/>
        <v>224.63304195351205</v>
      </c>
      <c r="T8" s="33">
        <f t="shared" si="3"/>
        <v>262.07188227909739</v>
      </c>
      <c r="U8" s="33">
        <f t="shared" si="4"/>
        <v>299.51072260468277</v>
      </c>
      <c r="V8" s="33">
        <f t="shared" si="5"/>
        <v>149.75536130234138</v>
      </c>
      <c r="W8" s="33">
        <f t="shared" si="6"/>
        <v>187.19420162792667</v>
      </c>
      <c r="X8" s="33">
        <f t="shared" si="7"/>
        <v>224.63304195351205</v>
      </c>
      <c r="Y8" s="33">
        <f t="shared" si="8"/>
        <v>262.07188227909739</v>
      </c>
      <c r="Z8" s="33">
        <f t="shared" si="9"/>
        <v>299.51072260468277</v>
      </c>
    </row>
    <row r="9" spans="1:26" hidden="1" x14ac:dyDescent="0.25">
      <c r="A9" s="2" t="s">
        <v>5</v>
      </c>
      <c r="B9" s="79"/>
      <c r="C9" s="28"/>
      <c r="D9" s="28"/>
      <c r="E9" s="28"/>
      <c r="F9" s="28"/>
      <c r="G9" s="28"/>
      <c r="H9" s="28"/>
      <c r="I9" s="28"/>
      <c r="J9" s="28"/>
      <c r="K9" s="28"/>
      <c r="L9" s="28"/>
      <c r="M9" s="132"/>
      <c r="N9" s="35"/>
      <c r="O9" s="135">
        <v>1000</v>
      </c>
      <c r="P9" s="135">
        <v>1</v>
      </c>
      <c r="Q9" s="33">
        <f t="shared" si="0"/>
        <v>0</v>
      </c>
      <c r="R9" s="33">
        <f t="shared" si="1"/>
        <v>0</v>
      </c>
      <c r="S9" s="33">
        <f t="shared" si="2"/>
        <v>0</v>
      </c>
      <c r="T9" s="33">
        <f t="shared" si="3"/>
        <v>0</v>
      </c>
      <c r="U9" s="33">
        <f t="shared" si="4"/>
        <v>0</v>
      </c>
      <c r="V9" s="33">
        <f t="shared" si="5"/>
        <v>0</v>
      </c>
      <c r="W9" s="33">
        <f t="shared" si="6"/>
        <v>0</v>
      </c>
      <c r="X9" s="33">
        <f t="shared" si="7"/>
        <v>0</v>
      </c>
      <c r="Y9" s="33">
        <f t="shared" si="8"/>
        <v>0</v>
      </c>
      <c r="Z9" s="33">
        <f t="shared" si="9"/>
        <v>0</v>
      </c>
    </row>
    <row r="10" spans="1:26" hidden="1" x14ac:dyDescent="0.25">
      <c r="A10" s="74" t="s">
        <v>6</v>
      </c>
      <c r="B10" s="88" t="s">
        <v>203</v>
      </c>
      <c r="C10" s="28">
        <v>2.4235603354497599E-2</v>
      </c>
      <c r="D10" s="28">
        <v>4.3252439999999996E-2</v>
      </c>
      <c r="E10" s="28">
        <v>6.0999999999999999E-2</v>
      </c>
      <c r="F10" s="28">
        <v>0.12563804000000001</v>
      </c>
      <c r="G10" s="28">
        <v>0.112</v>
      </c>
      <c r="H10" s="28">
        <v>0.23067968000000003</v>
      </c>
      <c r="I10" s="28">
        <v>0.17499999999999999</v>
      </c>
      <c r="J10" s="28">
        <v>0.36043700000000001</v>
      </c>
      <c r="K10" s="29">
        <v>0.246</v>
      </c>
      <c r="L10" s="28">
        <v>0.50667143999999997</v>
      </c>
      <c r="M10" s="130" t="s">
        <v>128</v>
      </c>
      <c r="N10" s="35"/>
      <c r="O10" s="135">
        <v>1000</v>
      </c>
      <c r="P10" s="135">
        <v>1</v>
      </c>
      <c r="Q10" s="33">
        <f t="shared" si="0"/>
        <v>43.252439999999993</v>
      </c>
      <c r="R10" s="33">
        <f t="shared" si="1"/>
        <v>125.63804</v>
      </c>
      <c r="S10" s="33">
        <f t="shared" si="2"/>
        <v>230.67968000000002</v>
      </c>
      <c r="T10" s="33">
        <f t="shared" si="3"/>
        <v>360.43700000000001</v>
      </c>
      <c r="U10" s="33">
        <f t="shared" si="4"/>
        <v>506.67143999999996</v>
      </c>
      <c r="V10" s="33">
        <f t="shared" si="5"/>
        <v>43.252439999999993</v>
      </c>
      <c r="W10" s="33">
        <f t="shared" si="6"/>
        <v>125.63804</v>
      </c>
      <c r="X10" s="33">
        <f t="shared" si="7"/>
        <v>230.67968000000002</v>
      </c>
      <c r="Y10" s="33">
        <f t="shared" si="8"/>
        <v>360.43700000000001</v>
      </c>
      <c r="Z10" s="33">
        <f t="shared" si="9"/>
        <v>506.67143999999996</v>
      </c>
    </row>
    <row r="11" spans="1:26" hidden="1" x14ac:dyDescent="0.25">
      <c r="A11" s="75" t="s">
        <v>6</v>
      </c>
      <c r="B11" s="77" t="s">
        <v>199</v>
      </c>
      <c r="C11" s="28">
        <v>3.1447806237851809E-2</v>
      </c>
      <c r="D11" s="28">
        <v>6.4771159639729098E-2</v>
      </c>
      <c r="E11" s="28">
        <v>3.9309757797314764E-2</v>
      </c>
      <c r="F11" s="28">
        <v>8.0963949549661379E-2</v>
      </c>
      <c r="G11" s="28">
        <v>4.7171709356777711E-2</v>
      </c>
      <c r="H11" s="28">
        <v>9.7156739459593647E-2</v>
      </c>
      <c r="I11" s="28">
        <v>5.5033660916240665E-2</v>
      </c>
      <c r="J11" s="28">
        <v>0.11334952936952593</v>
      </c>
      <c r="K11" s="28">
        <v>6.2895612475703619E-2</v>
      </c>
      <c r="L11" s="28">
        <v>0.1295423192794582</v>
      </c>
      <c r="M11" s="131" t="s">
        <v>198</v>
      </c>
      <c r="N11" s="35"/>
      <c r="O11" s="135">
        <v>1000</v>
      </c>
      <c r="P11" s="135">
        <v>1</v>
      </c>
      <c r="Q11" s="33">
        <f t="shared" si="0"/>
        <v>64.771159639729092</v>
      </c>
      <c r="R11" s="33">
        <f t="shared" si="1"/>
        <v>80.963949549661379</v>
      </c>
      <c r="S11" s="33">
        <f t="shared" si="2"/>
        <v>97.156739459593652</v>
      </c>
      <c r="T11" s="33">
        <f t="shared" si="3"/>
        <v>113.34952936952592</v>
      </c>
      <c r="U11" s="33">
        <f t="shared" si="4"/>
        <v>129.54231927945818</v>
      </c>
      <c r="V11" s="33">
        <f t="shared" si="5"/>
        <v>64.771159639729092</v>
      </c>
      <c r="W11" s="33">
        <f t="shared" si="6"/>
        <v>80.963949549661379</v>
      </c>
      <c r="X11" s="33">
        <f t="shared" si="7"/>
        <v>97.156739459593652</v>
      </c>
      <c r="Y11" s="33">
        <f t="shared" si="8"/>
        <v>113.34952936952592</v>
      </c>
      <c r="Z11" s="33">
        <f t="shared" si="9"/>
        <v>129.54231927945818</v>
      </c>
    </row>
    <row r="12" spans="1:26" hidden="1" x14ac:dyDescent="0.25">
      <c r="A12" s="2" t="s">
        <v>7</v>
      </c>
      <c r="B12" s="79"/>
      <c r="C12" s="28"/>
      <c r="D12" s="28"/>
      <c r="E12" s="28"/>
      <c r="F12" s="28"/>
      <c r="G12" s="28"/>
      <c r="H12" s="28"/>
      <c r="I12" s="28"/>
      <c r="J12" s="28"/>
      <c r="K12" s="28"/>
      <c r="L12" s="28"/>
      <c r="M12" s="132"/>
      <c r="N12" s="35"/>
      <c r="O12" s="135">
        <v>1000</v>
      </c>
      <c r="P12" s="135">
        <v>1</v>
      </c>
      <c r="Q12" s="33">
        <f t="shared" si="0"/>
        <v>0</v>
      </c>
      <c r="R12" s="33">
        <f t="shared" si="1"/>
        <v>0</v>
      </c>
      <c r="S12" s="33">
        <f t="shared" si="2"/>
        <v>0</v>
      </c>
      <c r="T12" s="33">
        <f t="shared" si="3"/>
        <v>0</v>
      </c>
      <c r="U12" s="33">
        <f t="shared" si="4"/>
        <v>0</v>
      </c>
      <c r="V12" s="33">
        <f t="shared" si="5"/>
        <v>0</v>
      </c>
      <c r="W12" s="33">
        <f t="shared" si="6"/>
        <v>0</v>
      </c>
      <c r="X12" s="33">
        <f t="shared" si="7"/>
        <v>0</v>
      </c>
      <c r="Y12" s="33">
        <f t="shared" si="8"/>
        <v>0</v>
      </c>
      <c r="Z12" s="33">
        <f t="shared" si="9"/>
        <v>0</v>
      </c>
    </row>
    <row r="13" spans="1:26" hidden="1" x14ac:dyDescent="0.25">
      <c r="A13" s="75" t="s">
        <v>8</v>
      </c>
      <c r="B13" s="77" t="s">
        <v>199</v>
      </c>
      <c r="C13" s="28">
        <v>3.0717644461124231E-2</v>
      </c>
      <c r="D13" s="28">
        <v>5.9604517312365456E-2</v>
      </c>
      <c r="E13" s="28">
        <v>3.8397055576405291E-2</v>
      </c>
      <c r="F13" s="28">
        <v>7.4505646640456821E-2</v>
      </c>
      <c r="G13" s="28">
        <v>4.6076466691686351E-2</v>
      </c>
      <c r="H13" s="28">
        <v>8.9406775968548208E-2</v>
      </c>
      <c r="I13" s="28">
        <v>5.375587780696741E-2</v>
      </c>
      <c r="J13" s="28">
        <v>0.10430790529663955</v>
      </c>
      <c r="K13" s="28">
        <v>6.1435288922248463E-2</v>
      </c>
      <c r="L13" s="28">
        <v>0.11920903462473091</v>
      </c>
      <c r="M13" s="131" t="s">
        <v>198</v>
      </c>
      <c r="N13" s="35"/>
      <c r="O13" s="135">
        <v>1000</v>
      </c>
      <c r="P13" s="135">
        <v>1</v>
      </c>
      <c r="Q13" s="33">
        <f t="shared" si="0"/>
        <v>59.604517312365452</v>
      </c>
      <c r="R13" s="33">
        <f t="shared" si="1"/>
        <v>74.505646640456817</v>
      </c>
      <c r="S13" s="33">
        <f t="shared" si="2"/>
        <v>89.406775968548203</v>
      </c>
      <c r="T13" s="33">
        <f t="shared" si="3"/>
        <v>104.30790529663955</v>
      </c>
      <c r="U13" s="33">
        <f t="shared" si="4"/>
        <v>119.2090346247309</v>
      </c>
      <c r="V13" s="33">
        <f t="shared" si="5"/>
        <v>59.604517312365452</v>
      </c>
      <c r="W13" s="33">
        <f t="shared" si="6"/>
        <v>74.505646640456817</v>
      </c>
      <c r="X13" s="33">
        <f t="shared" si="7"/>
        <v>89.406775968548203</v>
      </c>
      <c r="Y13" s="33">
        <f t="shared" si="8"/>
        <v>104.30790529663955</v>
      </c>
      <c r="Z13" s="33">
        <f t="shared" si="9"/>
        <v>119.2090346247309</v>
      </c>
    </row>
    <row r="14" spans="1:26" hidden="1" x14ac:dyDescent="0.25">
      <c r="A14" s="31" t="s">
        <v>2</v>
      </c>
      <c r="B14" s="88" t="s">
        <v>203</v>
      </c>
      <c r="C14" s="28">
        <v>1.0999999999999999E-2</v>
      </c>
      <c r="D14" s="28">
        <v>2.2141386666666665E-2</v>
      </c>
      <c r="E14" s="28">
        <v>0.04</v>
      </c>
      <c r="F14" s="28">
        <v>8.0514133333333335E-2</v>
      </c>
      <c r="G14" s="28">
        <v>7.3999999999999996E-2</v>
      </c>
      <c r="H14" s="28">
        <v>0.14895114666666667</v>
      </c>
      <c r="I14" s="28">
        <v>0.112</v>
      </c>
      <c r="J14" s="28">
        <v>0.22543957333333331</v>
      </c>
      <c r="K14" s="29">
        <v>0.151</v>
      </c>
      <c r="L14" s="28">
        <v>0.30394085333333332</v>
      </c>
      <c r="M14" s="130" t="s">
        <v>128</v>
      </c>
      <c r="N14" s="35"/>
      <c r="O14" s="135">
        <v>1000</v>
      </c>
      <c r="P14" s="135">
        <v>1</v>
      </c>
      <c r="Q14" s="33">
        <f t="shared" si="0"/>
        <v>22.141386666666666</v>
      </c>
      <c r="R14" s="33">
        <f t="shared" si="1"/>
        <v>80.514133333333334</v>
      </c>
      <c r="S14" s="33">
        <f t="shared" si="2"/>
        <v>148.95114666666666</v>
      </c>
      <c r="T14" s="33">
        <f t="shared" si="3"/>
        <v>225.4395733333333</v>
      </c>
      <c r="U14" s="33">
        <f t="shared" si="4"/>
        <v>303.94085333333334</v>
      </c>
      <c r="V14" s="33">
        <f t="shared" si="5"/>
        <v>22.141386666666666</v>
      </c>
      <c r="W14" s="33">
        <f t="shared" si="6"/>
        <v>80.514133333333334</v>
      </c>
      <c r="X14" s="33">
        <f t="shared" si="7"/>
        <v>148.95114666666666</v>
      </c>
      <c r="Y14" s="33">
        <f t="shared" si="8"/>
        <v>225.4395733333333</v>
      </c>
      <c r="Z14" s="33">
        <f t="shared" si="9"/>
        <v>303.94085333333334</v>
      </c>
    </row>
    <row r="15" spans="1:26" hidden="1" x14ac:dyDescent="0.25">
      <c r="A15" s="30" t="s">
        <v>2</v>
      </c>
      <c r="B15" s="128" t="s">
        <v>227</v>
      </c>
      <c r="C15" s="28"/>
      <c r="D15" s="28">
        <v>4.3707006369426753E-2</v>
      </c>
      <c r="E15" s="28"/>
      <c r="F15" s="28">
        <v>7.9045013883379617E-2</v>
      </c>
      <c r="G15" s="28"/>
      <c r="H15" s="28">
        <v>0.13044307692307691</v>
      </c>
      <c r="I15" s="28"/>
      <c r="J15" s="28">
        <v>0.2005983526734926</v>
      </c>
      <c r="K15" s="29"/>
      <c r="L15" s="28">
        <v>0.28954389370306183</v>
      </c>
      <c r="M15" s="24" t="s">
        <v>81</v>
      </c>
      <c r="N15" s="35"/>
      <c r="O15" s="135">
        <v>1000</v>
      </c>
      <c r="P15" s="135">
        <v>1</v>
      </c>
      <c r="Q15" s="33">
        <f t="shared" si="0"/>
        <v>43.70700636942675</v>
      </c>
      <c r="R15" s="33">
        <f t="shared" si="1"/>
        <v>79.04501388337961</v>
      </c>
      <c r="S15" s="33">
        <f t="shared" si="2"/>
        <v>130.44307692307692</v>
      </c>
      <c r="T15" s="33">
        <f t="shared" si="3"/>
        <v>200.5983526734926</v>
      </c>
      <c r="U15" s="33">
        <f t="shared" si="4"/>
        <v>289.54389370306183</v>
      </c>
      <c r="V15" s="33">
        <f t="shared" si="5"/>
        <v>43.70700636942675</v>
      </c>
      <c r="W15" s="33">
        <f t="shared" si="6"/>
        <v>79.04501388337961</v>
      </c>
      <c r="X15" s="33">
        <f t="shared" si="7"/>
        <v>130.44307692307692</v>
      </c>
      <c r="Y15" s="33">
        <f t="shared" si="8"/>
        <v>200.5983526734926</v>
      </c>
      <c r="Z15" s="33">
        <f t="shared" si="9"/>
        <v>289.54389370306183</v>
      </c>
    </row>
    <row r="16" spans="1:26" hidden="1" x14ac:dyDescent="0.25">
      <c r="A16" s="75" t="s">
        <v>2</v>
      </c>
      <c r="B16" s="77" t="s">
        <v>199</v>
      </c>
      <c r="C16" s="28">
        <v>3.0940271672411278E-2</v>
      </c>
      <c r="D16" s="28">
        <v>6.2278228970051946E-2</v>
      </c>
      <c r="E16" s="28">
        <v>3.8675339590514099E-2</v>
      </c>
      <c r="F16" s="28">
        <v>7.784778621256494E-2</v>
      </c>
      <c r="G16" s="28">
        <v>4.6410407508616913E-2</v>
      </c>
      <c r="H16" s="28">
        <v>9.3417343455077906E-2</v>
      </c>
      <c r="I16" s="28">
        <v>5.4145475426719734E-2</v>
      </c>
      <c r="J16" s="28">
        <v>0.1089869006975909</v>
      </c>
      <c r="K16" s="28">
        <v>6.1880543344822556E-2</v>
      </c>
      <c r="L16" s="28">
        <v>0.12455645794010389</v>
      </c>
      <c r="M16" s="131" t="s">
        <v>198</v>
      </c>
      <c r="N16" s="35"/>
      <c r="O16" s="135">
        <v>1000</v>
      </c>
      <c r="P16" s="135">
        <v>1</v>
      </c>
      <c r="Q16" s="33">
        <f t="shared" si="0"/>
        <v>62.278228970051948</v>
      </c>
      <c r="R16" s="33">
        <f t="shared" si="1"/>
        <v>77.847786212564941</v>
      </c>
      <c r="S16" s="33">
        <f t="shared" si="2"/>
        <v>93.417343455077912</v>
      </c>
      <c r="T16" s="33">
        <f t="shared" si="3"/>
        <v>108.9869006975909</v>
      </c>
      <c r="U16" s="33">
        <f t="shared" si="4"/>
        <v>124.5564579401039</v>
      </c>
      <c r="V16" s="33">
        <f t="shared" si="5"/>
        <v>62.278228970051948</v>
      </c>
      <c r="W16" s="33">
        <f t="shared" si="6"/>
        <v>77.847786212564941</v>
      </c>
      <c r="X16" s="33">
        <f t="shared" si="7"/>
        <v>93.417343455077912</v>
      </c>
      <c r="Y16" s="33">
        <f t="shared" si="8"/>
        <v>108.9869006975909</v>
      </c>
      <c r="Z16" s="33">
        <f t="shared" si="9"/>
        <v>124.5564579401039</v>
      </c>
    </row>
    <row r="17" spans="1:26" hidden="1" x14ac:dyDescent="0.25">
      <c r="A17" s="125" t="s">
        <v>2</v>
      </c>
      <c r="B17" s="129" t="s">
        <v>230</v>
      </c>
      <c r="C17" s="28"/>
      <c r="D17" s="28">
        <v>5.5384426799168551E-2</v>
      </c>
      <c r="E17" s="28"/>
      <c r="F17" s="28">
        <v>9.2649280417025512E-2</v>
      </c>
      <c r="G17" s="28"/>
      <c r="H17" s="28">
        <v>0.14159152880542167</v>
      </c>
      <c r="I17" s="28"/>
      <c r="J17" s="28">
        <v>0.20846959774569435</v>
      </c>
      <c r="K17" s="28"/>
      <c r="L17" s="28">
        <v>0.29232713581836017</v>
      </c>
      <c r="M17" s="133" t="s">
        <v>85</v>
      </c>
      <c r="N17" s="35"/>
      <c r="O17" s="135">
        <v>1000</v>
      </c>
      <c r="P17" s="135">
        <v>1</v>
      </c>
      <c r="Q17" s="33">
        <f t="shared" si="0"/>
        <v>55.384426799168551</v>
      </c>
      <c r="R17" s="33">
        <f t="shared" si="1"/>
        <v>92.649280417025508</v>
      </c>
      <c r="S17" s="33">
        <f t="shared" si="2"/>
        <v>141.59152880542166</v>
      </c>
      <c r="T17" s="33">
        <f t="shared" si="3"/>
        <v>208.46959774569436</v>
      </c>
      <c r="U17" s="33">
        <f t="shared" si="4"/>
        <v>292.32713581836015</v>
      </c>
      <c r="V17" s="33">
        <f t="shared" si="5"/>
        <v>55.384426799168551</v>
      </c>
      <c r="W17" s="33">
        <f t="shared" si="6"/>
        <v>92.649280417025508</v>
      </c>
      <c r="X17" s="33">
        <f t="shared" si="7"/>
        <v>141.59152880542166</v>
      </c>
      <c r="Y17" s="33">
        <f t="shared" si="8"/>
        <v>208.46959774569436</v>
      </c>
      <c r="Z17" s="33">
        <f t="shared" si="9"/>
        <v>292.32713581836015</v>
      </c>
    </row>
    <row r="18" spans="1:26" hidden="1" x14ac:dyDescent="0.25">
      <c r="A18" s="2" t="s">
        <v>9</v>
      </c>
      <c r="B18" s="79"/>
      <c r="C18" s="28"/>
      <c r="D18" s="28"/>
      <c r="E18" s="28"/>
      <c r="F18" s="28"/>
      <c r="G18" s="28"/>
      <c r="H18" s="28"/>
      <c r="I18" s="28"/>
      <c r="J18" s="28"/>
      <c r="K18" s="28"/>
      <c r="L18" s="28"/>
      <c r="M18" s="132"/>
      <c r="N18" s="35"/>
      <c r="O18" s="135">
        <v>1000</v>
      </c>
      <c r="P18" s="135">
        <v>1</v>
      </c>
      <c r="Q18" s="33">
        <f t="shared" si="0"/>
        <v>0</v>
      </c>
      <c r="R18" s="33">
        <f t="shared" si="1"/>
        <v>0</v>
      </c>
      <c r="S18" s="33">
        <f t="shared" si="2"/>
        <v>0</v>
      </c>
      <c r="T18" s="33">
        <f t="shared" si="3"/>
        <v>0</v>
      </c>
      <c r="U18" s="33">
        <f t="shared" si="4"/>
        <v>0</v>
      </c>
      <c r="V18" s="33">
        <f t="shared" si="5"/>
        <v>0</v>
      </c>
      <c r="W18" s="33">
        <f t="shared" si="6"/>
        <v>0</v>
      </c>
      <c r="X18" s="33">
        <f t="shared" si="7"/>
        <v>0</v>
      </c>
      <c r="Y18" s="33">
        <f t="shared" si="8"/>
        <v>0</v>
      </c>
      <c r="Z18" s="33">
        <f t="shared" si="9"/>
        <v>0</v>
      </c>
    </row>
    <row r="19" spans="1:26" x14ac:dyDescent="0.25">
      <c r="A19" s="23" t="s">
        <v>10</v>
      </c>
      <c r="B19" s="88" t="s">
        <v>203</v>
      </c>
      <c r="C19" s="28">
        <v>8.5999999999999993E-2</v>
      </c>
      <c r="D19" s="28">
        <v>0.20894774999999999</v>
      </c>
      <c r="E19" s="28">
        <v>0.1075</v>
      </c>
      <c r="F19" s="28">
        <v>0.26118468749999996</v>
      </c>
      <c r="G19" s="28">
        <v>0.129</v>
      </c>
      <c r="H19" s="28">
        <v>0.31342162499999998</v>
      </c>
      <c r="I19" s="28">
        <v>0.19950000000000001</v>
      </c>
      <c r="J19" s="28">
        <v>0.4847101875</v>
      </c>
      <c r="K19" s="28">
        <v>0.22800000000000001</v>
      </c>
      <c r="L19" s="28">
        <v>0.55395450000000002</v>
      </c>
      <c r="M19" s="130" t="s">
        <v>128</v>
      </c>
      <c r="N19" s="35" t="s">
        <v>126</v>
      </c>
      <c r="O19" s="135">
        <v>1000</v>
      </c>
      <c r="P19" s="135">
        <v>1</v>
      </c>
      <c r="Q19" s="33">
        <f>D19*O19</f>
        <v>208.94774999999998</v>
      </c>
      <c r="R19" s="33">
        <f t="shared" si="1"/>
        <v>261.18468749999994</v>
      </c>
      <c r="S19" s="33">
        <f t="shared" si="2"/>
        <v>313.42162500000001</v>
      </c>
      <c r="T19" s="33">
        <f t="shared" si="3"/>
        <v>484.71018750000002</v>
      </c>
      <c r="U19" s="33">
        <f t="shared" si="4"/>
        <v>553.95450000000005</v>
      </c>
      <c r="V19" s="33">
        <f t="shared" si="5"/>
        <v>208.94774999999998</v>
      </c>
      <c r="W19" s="33">
        <f t="shared" si="6"/>
        <v>261.18468749999994</v>
      </c>
      <c r="X19" s="33">
        <f t="shared" si="7"/>
        <v>313.42162500000001</v>
      </c>
      <c r="Y19" s="33">
        <f t="shared" si="8"/>
        <v>484.71018750000002</v>
      </c>
      <c r="Z19" s="33">
        <f t="shared" si="9"/>
        <v>553.95450000000005</v>
      </c>
    </row>
    <row r="20" spans="1:26" x14ac:dyDescent="0.25">
      <c r="A20" s="75" t="s">
        <v>10</v>
      </c>
      <c r="B20" s="77" t="s">
        <v>199</v>
      </c>
      <c r="C20" s="28">
        <v>5.1085313145785793E-2</v>
      </c>
      <c r="D20" s="28">
        <v>0.1241181539518298</v>
      </c>
      <c r="E20" s="28">
        <v>6.3856641432232242E-2</v>
      </c>
      <c r="F20" s="28">
        <v>0.15514769243978724</v>
      </c>
      <c r="G20" s="28">
        <v>7.662796971867869E-2</v>
      </c>
      <c r="H20" s="28">
        <v>0.18617723092774471</v>
      </c>
      <c r="I20" s="28">
        <v>8.9399298005125138E-2</v>
      </c>
      <c r="J20" s="28">
        <v>0.21720676941570213</v>
      </c>
      <c r="K20" s="28">
        <v>0.10217062629157159</v>
      </c>
      <c r="L20" s="28">
        <v>0.24823630790365961</v>
      </c>
      <c r="M20" s="131" t="s">
        <v>198</v>
      </c>
      <c r="N20" s="35"/>
      <c r="O20" s="135">
        <v>1000</v>
      </c>
      <c r="P20" s="135">
        <v>1</v>
      </c>
      <c r="Q20" s="33">
        <f t="shared" si="0"/>
        <v>124.11815395182981</v>
      </c>
      <c r="R20" s="33">
        <f t="shared" si="1"/>
        <v>155.14769243978725</v>
      </c>
      <c r="S20" s="33">
        <f t="shared" si="2"/>
        <v>186.17723092774472</v>
      </c>
      <c r="T20" s="33">
        <f t="shared" si="3"/>
        <v>217.20676941570213</v>
      </c>
      <c r="U20" s="33">
        <f t="shared" si="4"/>
        <v>248.23630790365962</v>
      </c>
      <c r="V20" s="33">
        <f t="shared" si="5"/>
        <v>124.11815395182981</v>
      </c>
      <c r="W20" s="33">
        <f t="shared" si="6"/>
        <v>155.14769243978725</v>
      </c>
      <c r="X20" s="33">
        <f t="shared" si="7"/>
        <v>186.17723092774472</v>
      </c>
      <c r="Y20" s="33">
        <f t="shared" si="8"/>
        <v>217.20676941570213</v>
      </c>
      <c r="Z20" s="33">
        <f t="shared" si="9"/>
        <v>248.23630790365962</v>
      </c>
    </row>
    <row r="21" spans="1:26" hidden="1" x14ac:dyDescent="0.25">
      <c r="A21" s="84" t="s">
        <v>157</v>
      </c>
      <c r="B21" s="77" t="s">
        <v>199</v>
      </c>
      <c r="C21" s="28">
        <v>1.4595690686994803E-2</v>
      </c>
      <c r="D21" s="28">
        <v>6.1960458449175387E-2</v>
      </c>
      <c r="E21" s="28">
        <v>1.8244613358743503E-2</v>
      </c>
      <c r="F21" s="28">
        <v>7.7450573061469213E-2</v>
      </c>
      <c r="G21" s="28">
        <v>2.1893536030492204E-2</v>
      </c>
      <c r="H21" s="28">
        <v>9.2940687673763067E-2</v>
      </c>
      <c r="I21" s="28">
        <v>2.5542458702240905E-2</v>
      </c>
      <c r="J21" s="28">
        <v>0.10843080228605692</v>
      </c>
      <c r="K21" s="28">
        <v>2.9191381373989606E-2</v>
      </c>
      <c r="L21" s="28">
        <v>0.12392091689835077</v>
      </c>
      <c r="M21" s="131" t="s">
        <v>198</v>
      </c>
      <c r="N21" s="35"/>
      <c r="O21" s="135">
        <v>1000</v>
      </c>
      <c r="P21" s="135">
        <v>1</v>
      </c>
      <c r="Q21" s="33">
        <f t="shared" si="0"/>
        <v>61.960458449175384</v>
      </c>
      <c r="R21" s="33">
        <f t="shared" si="1"/>
        <v>77.450573061469214</v>
      </c>
      <c r="S21" s="33">
        <f t="shared" si="2"/>
        <v>92.940687673763065</v>
      </c>
      <c r="T21" s="33">
        <f t="shared" si="3"/>
        <v>108.43080228605692</v>
      </c>
      <c r="U21" s="33">
        <f t="shared" si="4"/>
        <v>123.92091689835077</v>
      </c>
      <c r="V21" s="33">
        <f t="shared" si="5"/>
        <v>61.960458449175384</v>
      </c>
      <c r="W21" s="33">
        <f t="shared" si="6"/>
        <v>77.450573061469214</v>
      </c>
      <c r="X21" s="33">
        <f t="shared" si="7"/>
        <v>92.940687673763065</v>
      </c>
      <c r="Y21" s="33">
        <f t="shared" si="8"/>
        <v>108.43080228605692</v>
      </c>
      <c r="Z21" s="33">
        <f t="shared" si="9"/>
        <v>123.92091689835077</v>
      </c>
    </row>
    <row r="22" spans="1:26" hidden="1" x14ac:dyDescent="0.25">
      <c r="A22" s="2" t="s">
        <v>11</v>
      </c>
      <c r="B22" s="79"/>
      <c r="C22" s="28"/>
      <c r="D22" s="28"/>
      <c r="E22" s="28"/>
      <c r="F22" s="28"/>
      <c r="G22" s="28"/>
      <c r="H22" s="28"/>
      <c r="I22" s="28"/>
      <c r="J22" s="28"/>
      <c r="K22" s="28"/>
      <c r="L22" s="28"/>
      <c r="M22" s="132"/>
      <c r="N22" s="35"/>
      <c r="O22" s="135">
        <v>1000</v>
      </c>
      <c r="P22" s="135">
        <v>1</v>
      </c>
      <c r="Q22" s="33">
        <f t="shared" si="0"/>
        <v>0</v>
      </c>
      <c r="R22" s="33">
        <f t="shared" si="1"/>
        <v>0</v>
      </c>
      <c r="S22" s="33">
        <f t="shared" si="2"/>
        <v>0</v>
      </c>
      <c r="T22" s="33">
        <f t="shared" si="3"/>
        <v>0</v>
      </c>
      <c r="U22" s="33">
        <f t="shared" si="4"/>
        <v>0</v>
      </c>
      <c r="V22" s="33">
        <f t="shared" si="5"/>
        <v>0</v>
      </c>
      <c r="W22" s="33">
        <f t="shared" si="6"/>
        <v>0</v>
      </c>
      <c r="X22" s="33">
        <f t="shared" si="7"/>
        <v>0</v>
      </c>
      <c r="Y22" s="33">
        <f t="shared" si="8"/>
        <v>0</v>
      </c>
      <c r="Z22" s="33">
        <f t="shared" si="9"/>
        <v>0</v>
      </c>
    </row>
    <row r="23" spans="1:26" hidden="1" x14ac:dyDescent="0.25">
      <c r="A23" s="2" t="s">
        <v>12</v>
      </c>
      <c r="B23" s="79"/>
      <c r="C23" s="28"/>
      <c r="D23" s="28"/>
      <c r="E23" s="28"/>
      <c r="F23" s="28"/>
      <c r="G23" s="28"/>
      <c r="H23" s="28"/>
      <c r="I23" s="28"/>
      <c r="J23" s="28"/>
      <c r="K23" s="28"/>
      <c r="L23" s="28"/>
      <c r="M23" s="132"/>
      <c r="N23" s="35"/>
      <c r="O23" s="135">
        <v>1000</v>
      </c>
      <c r="P23" s="135">
        <v>1</v>
      </c>
      <c r="Q23" s="33">
        <f t="shared" si="0"/>
        <v>0</v>
      </c>
      <c r="R23" s="33">
        <f t="shared" si="1"/>
        <v>0</v>
      </c>
      <c r="S23" s="33">
        <f t="shared" si="2"/>
        <v>0</v>
      </c>
      <c r="T23" s="33">
        <f t="shared" si="3"/>
        <v>0</v>
      </c>
      <c r="U23" s="33">
        <f t="shared" si="4"/>
        <v>0</v>
      </c>
      <c r="V23" s="33">
        <f t="shared" si="5"/>
        <v>0</v>
      </c>
      <c r="W23" s="33">
        <f t="shared" si="6"/>
        <v>0</v>
      </c>
      <c r="X23" s="33">
        <f t="shared" si="7"/>
        <v>0</v>
      </c>
      <c r="Y23" s="33">
        <f t="shared" si="8"/>
        <v>0</v>
      </c>
      <c r="Z23" s="33">
        <f t="shared" si="9"/>
        <v>0</v>
      </c>
    </row>
    <row r="24" spans="1:26" hidden="1" x14ac:dyDescent="0.25">
      <c r="A24" s="84" t="s">
        <v>13</v>
      </c>
      <c r="B24" s="77" t="s">
        <v>199</v>
      </c>
      <c r="C24" s="28">
        <v>7.0330285525162482E-3</v>
      </c>
      <c r="D24" s="28">
        <v>7.2902029632532592E-3</v>
      </c>
      <c r="E24" s="28">
        <v>8.7912856906453094E-3</v>
      </c>
      <c r="F24" s="28">
        <v>9.1127537040665719E-3</v>
      </c>
      <c r="G24" s="28">
        <v>1.0549542828774372E-2</v>
      </c>
      <c r="H24" s="28">
        <v>1.0935304444879886E-2</v>
      </c>
      <c r="I24" s="28">
        <v>1.2307799966903434E-2</v>
      </c>
      <c r="J24" s="28">
        <v>1.2757855185693201E-2</v>
      </c>
      <c r="K24" s="28">
        <v>1.4066057105032496E-2</v>
      </c>
      <c r="L24" s="28">
        <v>1.4580405926506518E-2</v>
      </c>
      <c r="M24" s="131" t="s">
        <v>198</v>
      </c>
      <c r="N24" s="35"/>
      <c r="O24" s="135">
        <v>1000</v>
      </c>
      <c r="P24" s="135">
        <v>1</v>
      </c>
      <c r="Q24" s="33">
        <f t="shared" si="0"/>
        <v>7.2902029632532592</v>
      </c>
      <c r="R24" s="33">
        <f t="shared" si="1"/>
        <v>9.1127537040665718</v>
      </c>
      <c r="S24" s="33">
        <f t="shared" si="2"/>
        <v>10.935304444879886</v>
      </c>
      <c r="T24" s="33">
        <f t="shared" si="3"/>
        <v>12.757855185693201</v>
      </c>
      <c r="U24" s="33">
        <f t="shared" si="4"/>
        <v>14.580405926506518</v>
      </c>
      <c r="V24" s="33">
        <f t="shared" si="5"/>
        <v>7.2902029632532592</v>
      </c>
      <c r="W24" s="33">
        <f t="shared" si="6"/>
        <v>9.1127537040665718</v>
      </c>
      <c r="X24" s="33">
        <f t="shared" si="7"/>
        <v>10.935304444879886</v>
      </c>
      <c r="Y24" s="33">
        <f t="shared" si="8"/>
        <v>12.757855185693201</v>
      </c>
      <c r="Z24" s="33">
        <f t="shared" si="9"/>
        <v>14.580405926506518</v>
      </c>
    </row>
    <row r="25" spans="1:26" hidden="1" x14ac:dyDescent="0.25">
      <c r="A25" s="2" t="s">
        <v>14</v>
      </c>
      <c r="B25" s="79"/>
      <c r="C25" s="28"/>
      <c r="D25" s="28"/>
      <c r="E25" s="28"/>
      <c r="F25" s="28"/>
      <c r="G25" s="28"/>
      <c r="H25" s="28"/>
      <c r="I25" s="28"/>
      <c r="J25" s="28"/>
      <c r="K25" s="28"/>
      <c r="L25" s="28"/>
      <c r="M25" s="132"/>
      <c r="N25" s="35"/>
      <c r="O25" s="135">
        <v>1000</v>
      </c>
      <c r="P25" s="135">
        <v>1</v>
      </c>
      <c r="Q25" s="33">
        <f t="shared" si="0"/>
        <v>0</v>
      </c>
      <c r="R25" s="33">
        <f t="shared" si="1"/>
        <v>0</v>
      </c>
      <c r="S25" s="33">
        <f t="shared" si="2"/>
        <v>0</v>
      </c>
      <c r="T25" s="33">
        <f t="shared" si="3"/>
        <v>0</v>
      </c>
      <c r="U25" s="33">
        <f t="shared" si="4"/>
        <v>0</v>
      </c>
      <c r="V25" s="33">
        <f t="shared" si="5"/>
        <v>0</v>
      </c>
      <c r="W25" s="33">
        <f t="shared" si="6"/>
        <v>0</v>
      </c>
      <c r="X25" s="33">
        <f t="shared" si="7"/>
        <v>0</v>
      </c>
      <c r="Y25" s="33">
        <f t="shared" si="8"/>
        <v>0</v>
      </c>
      <c r="Z25" s="33">
        <f t="shared" si="9"/>
        <v>0</v>
      </c>
    </row>
    <row r="26" spans="1:26" hidden="1" x14ac:dyDescent="0.25">
      <c r="A26" s="84" t="s">
        <v>15</v>
      </c>
      <c r="B26" s="77" t="s">
        <v>199</v>
      </c>
      <c r="C26" s="28">
        <v>3.5519916783877857E-2</v>
      </c>
      <c r="D26" s="28">
        <v>7.8352200436330038E-2</v>
      </c>
      <c r="E26" s="28">
        <v>4.4399895979847323E-2</v>
      </c>
      <c r="F26" s="28">
        <v>9.7940250545412541E-2</v>
      </c>
      <c r="G26" s="28">
        <v>5.3279875175816782E-2</v>
      </c>
      <c r="H26" s="28">
        <v>0.11752830065449504</v>
      </c>
      <c r="I26" s="28">
        <v>6.2159854371786248E-2</v>
      </c>
      <c r="J26" s="28">
        <v>0.13711635076357756</v>
      </c>
      <c r="K26" s="28">
        <v>7.1039833567755714E-2</v>
      </c>
      <c r="L26" s="28">
        <v>0.15670440087266008</v>
      </c>
      <c r="M26" s="131" t="s">
        <v>198</v>
      </c>
      <c r="N26" s="35"/>
      <c r="O26" s="135">
        <v>1000</v>
      </c>
      <c r="P26" s="135">
        <v>1</v>
      </c>
      <c r="Q26" s="33">
        <f t="shared" si="0"/>
        <v>78.352200436330037</v>
      </c>
      <c r="R26" s="33">
        <f t="shared" si="1"/>
        <v>97.940250545412539</v>
      </c>
      <c r="S26" s="33">
        <f t="shared" si="2"/>
        <v>117.52830065449504</v>
      </c>
      <c r="T26" s="33">
        <f t="shared" si="3"/>
        <v>137.11635076357757</v>
      </c>
      <c r="U26" s="33">
        <f t="shared" si="4"/>
        <v>156.70440087266007</v>
      </c>
      <c r="V26" s="33">
        <f t="shared" si="5"/>
        <v>78.352200436330037</v>
      </c>
      <c r="W26" s="33">
        <f t="shared" si="6"/>
        <v>97.940250545412539</v>
      </c>
      <c r="X26" s="33">
        <f t="shared" si="7"/>
        <v>117.52830065449504</v>
      </c>
      <c r="Y26" s="33">
        <f t="shared" si="8"/>
        <v>137.11635076357757</v>
      </c>
      <c r="Z26" s="33">
        <f t="shared" si="9"/>
        <v>156.70440087266007</v>
      </c>
    </row>
    <row r="27" spans="1:26" hidden="1" x14ac:dyDescent="0.25">
      <c r="A27" s="84" t="s">
        <v>17</v>
      </c>
      <c r="B27" s="77" t="s">
        <v>199</v>
      </c>
      <c r="C27" s="28">
        <v>0.13780596631208833</v>
      </c>
      <c r="D27" s="28">
        <v>0.26739869703197616</v>
      </c>
      <c r="E27" s="28">
        <v>0.23625044309191207</v>
      </c>
      <c r="F27" s="28">
        <v>0.45842035977554618</v>
      </c>
      <c r="G27" s="28">
        <v>0.31672869557299338</v>
      </c>
      <c r="H27" s="28">
        <v>0.61458036088983636</v>
      </c>
      <c r="I27" s="28">
        <v>0.46409651535326579</v>
      </c>
      <c r="J27" s="28">
        <v>0.900532878391477</v>
      </c>
      <c r="K27" s="28">
        <v>0.54009296361673664</v>
      </c>
      <c r="L27" s="28">
        <v>1.0479963866019157</v>
      </c>
      <c r="M27" s="131" t="s">
        <v>198</v>
      </c>
      <c r="N27" s="35"/>
      <c r="O27" s="135">
        <v>1000</v>
      </c>
      <c r="P27" s="135">
        <v>1</v>
      </c>
      <c r="Q27" s="33">
        <f t="shared" si="0"/>
        <v>267.39869703197616</v>
      </c>
      <c r="R27" s="33">
        <f t="shared" si="1"/>
        <v>458.42035977554616</v>
      </c>
      <c r="S27" s="33">
        <f t="shared" si="2"/>
        <v>614.58036088983636</v>
      </c>
      <c r="T27" s="33">
        <f t="shared" si="3"/>
        <v>900.53287839147697</v>
      </c>
      <c r="U27" s="33">
        <f t="shared" si="4"/>
        <v>1047.9963866019157</v>
      </c>
      <c r="V27" s="33">
        <f t="shared" si="5"/>
        <v>267.39869703197616</v>
      </c>
      <c r="W27" s="33">
        <f t="shared" si="6"/>
        <v>458.42035977554616</v>
      </c>
      <c r="X27" s="33">
        <f t="shared" si="7"/>
        <v>614.58036088983636</v>
      </c>
      <c r="Y27" s="33">
        <f t="shared" si="8"/>
        <v>900.53287839147697</v>
      </c>
      <c r="Z27" s="33">
        <f t="shared" si="9"/>
        <v>1047.9963866019157</v>
      </c>
    </row>
    <row r="28" spans="1:26" hidden="1" x14ac:dyDescent="0.25">
      <c r="A28" s="2" t="s">
        <v>18</v>
      </c>
      <c r="B28" s="79"/>
      <c r="C28" s="28"/>
      <c r="D28" s="28"/>
      <c r="E28" s="28"/>
      <c r="F28" s="28"/>
      <c r="G28" s="28"/>
      <c r="H28" s="28"/>
      <c r="I28" s="28"/>
      <c r="J28" s="28"/>
      <c r="K28" s="28"/>
      <c r="L28" s="28"/>
      <c r="M28" s="132"/>
      <c r="N28" s="35"/>
      <c r="O28" s="135">
        <v>1000</v>
      </c>
      <c r="P28" s="135">
        <v>1</v>
      </c>
      <c r="Q28" s="33">
        <f t="shared" si="0"/>
        <v>0</v>
      </c>
      <c r="R28" s="33">
        <f t="shared" si="1"/>
        <v>0</v>
      </c>
      <c r="S28" s="33">
        <f t="shared" si="2"/>
        <v>0</v>
      </c>
      <c r="T28" s="33">
        <f t="shared" si="3"/>
        <v>0</v>
      </c>
      <c r="U28" s="33">
        <f t="shared" si="4"/>
        <v>0</v>
      </c>
      <c r="V28" s="33">
        <f t="shared" si="5"/>
        <v>0</v>
      </c>
      <c r="W28" s="33">
        <f t="shared" si="6"/>
        <v>0</v>
      </c>
      <c r="X28" s="33">
        <f t="shared" si="7"/>
        <v>0</v>
      </c>
      <c r="Y28" s="33">
        <f t="shared" si="8"/>
        <v>0</v>
      </c>
      <c r="Z28" s="33">
        <f t="shared" si="9"/>
        <v>0</v>
      </c>
    </row>
    <row r="29" spans="1:26" hidden="1" x14ac:dyDescent="0.25">
      <c r="A29" s="2" t="s">
        <v>19</v>
      </c>
      <c r="B29" s="79"/>
      <c r="C29" s="28"/>
      <c r="D29" s="28"/>
      <c r="E29" s="28"/>
      <c r="F29" s="28"/>
      <c r="G29" s="28"/>
      <c r="H29" s="28"/>
      <c r="I29" s="28"/>
      <c r="J29" s="28"/>
      <c r="K29" s="28"/>
      <c r="L29" s="28"/>
      <c r="M29" s="132"/>
      <c r="N29" s="35"/>
      <c r="O29" s="135">
        <v>1000</v>
      </c>
      <c r="P29" s="135">
        <v>1</v>
      </c>
      <c r="Q29" s="33">
        <f t="shared" si="0"/>
        <v>0</v>
      </c>
      <c r="R29" s="33">
        <f t="shared" si="1"/>
        <v>0</v>
      </c>
      <c r="S29" s="33">
        <f t="shared" si="2"/>
        <v>0</v>
      </c>
      <c r="T29" s="33">
        <f t="shared" si="3"/>
        <v>0</v>
      </c>
      <c r="U29" s="33">
        <f t="shared" si="4"/>
        <v>0</v>
      </c>
      <c r="V29" s="33">
        <f t="shared" si="5"/>
        <v>0</v>
      </c>
      <c r="W29" s="33">
        <f t="shared" si="6"/>
        <v>0</v>
      </c>
      <c r="X29" s="33">
        <f t="shared" si="7"/>
        <v>0</v>
      </c>
      <c r="Y29" s="33">
        <f t="shared" si="8"/>
        <v>0</v>
      </c>
      <c r="Z29" s="33">
        <f t="shared" si="9"/>
        <v>0</v>
      </c>
    </row>
    <row r="30" spans="1:26" hidden="1" x14ac:dyDescent="0.25">
      <c r="A30" s="2" t="s">
        <v>20</v>
      </c>
      <c r="B30" s="79"/>
      <c r="C30" s="28"/>
      <c r="D30" s="28"/>
      <c r="E30" s="28"/>
      <c r="F30" s="28"/>
      <c r="G30" s="28"/>
      <c r="H30" s="28"/>
      <c r="I30" s="28"/>
      <c r="J30" s="28"/>
      <c r="K30" s="28"/>
      <c r="L30" s="28"/>
      <c r="M30" s="132"/>
      <c r="N30" s="35"/>
      <c r="O30" s="135">
        <v>1000</v>
      </c>
      <c r="P30" s="135">
        <v>1</v>
      </c>
      <c r="Q30" s="33">
        <f t="shared" si="0"/>
        <v>0</v>
      </c>
      <c r="R30" s="33">
        <f t="shared" si="1"/>
        <v>0</v>
      </c>
      <c r="S30" s="33">
        <f t="shared" si="2"/>
        <v>0</v>
      </c>
      <c r="T30" s="33">
        <f t="shared" si="3"/>
        <v>0</v>
      </c>
      <c r="U30" s="33">
        <f t="shared" si="4"/>
        <v>0</v>
      </c>
      <c r="V30" s="33">
        <f t="shared" si="5"/>
        <v>0</v>
      </c>
      <c r="W30" s="33">
        <f t="shared" si="6"/>
        <v>0</v>
      </c>
      <c r="X30" s="33">
        <f t="shared" si="7"/>
        <v>0</v>
      </c>
      <c r="Y30" s="33">
        <f t="shared" si="8"/>
        <v>0</v>
      </c>
      <c r="Z30" s="33">
        <f t="shared" si="9"/>
        <v>0</v>
      </c>
    </row>
    <row r="31" spans="1:26" hidden="1" x14ac:dyDescent="0.25">
      <c r="A31" s="84" t="s">
        <v>21</v>
      </c>
      <c r="B31" s="77" t="s">
        <v>199</v>
      </c>
      <c r="C31" s="28">
        <v>2.1782229937322616E-2</v>
      </c>
      <c r="D31" s="28">
        <v>4.2905184381875593E-2</v>
      </c>
      <c r="E31" s="28">
        <v>5.6877202471395945E-2</v>
      </c>
      <c r="F31" s="28">
        <v>0.11203292161465764</v>
      </c>
      <c r="G31" s="28">
        <v>0.10415920175927618</v>
      </c>
      <c r="H31" s="28">
        <v>0.20516585167863827</v>
      </c>
      <c r="I31" s="28">
        <v>0.17662290093811014</v>
      </c>
      <c r="J31" s="28">
        <v>0.34790001540782683</v>
      </c>
      <c r="K31" s="28">
        <v>0.20185474392926872</v>
      </c>
      <c r="L31" s="28">
        <v>0.39760001760894487</v>
      </c>
      <c r="M31" s="131" t="s">
        <v>198</v>
      </c>
      <c r="N31" s="35"/>
      <c r="O31" s="135">
        <v>1000</v>
      </c>
      <c r="P31" s="135">
        <v>1</v>
      </c>
      <c r="Q31" s="33">
        <f t="shared" si="0"/>
        <v>42.905184381875593</v>
      </c>
      <c r="R31" s="33">
        <f t="shared" si="1"/>
        <v>112.03292161465764</v>
      </c>
      <c r="S31" s="33">
        <f t="shared" si="2"/>
        <v>205.16585167863826</v>
      </c>
      <c r="T31" s="33">
        <f t="shared" si="3"/>
        <v>347.90001540782686</v>
      </c>
      <c r="U31" s="33">
        <f t="shared" si="4"/>
        <v>397.60001760894488</v>
      </c>
      <c r="V31" s="33">
        <f t="shared" si="5"/>
        <v>42.905184381875593</v>
      </c>
      <c r="W31" s="33">
        <f t="shared" si="6"/>
        <v>112.03292161465764</v>
      </c>
      <c r="X31" s="33">
        <f t="shared" si="7"/>
        <v>205.16585167863826</v>
      </c>
      <c r="Y31" s="33">
        <f t="shared" si="8"/>
        <v>347.90001540782686</v>
      </c>
      <c r="Z31" s="33">
        <f t="shared" si="9"/>
        <v>397.60001760894488</v>
      </c>
    </row>
    <row r="32" spans="1:26" hidden="1" x14ac:dyDescent="0.25">
      <c r="A32" s="31" t="s">
        <v>22</v>
      </c>
      <c r="B32" s="88" t="s">
        <v>203</v>
      </c>
      <c r="C32" s="28">
        <v>0.125</v>
      </c>
      <c r="D32" s="28">
        <v>0.32874187500000002</v>
      </c>
      <c r="E32" s="28">
        <v>0.23599999999999999</v>
      </c>
      <c r="F32" s="28">
        <v>0.62066466000000009</v>
      </c>
      <c r="G32" s="28">
        <v>0.379</v>
      </c>
      <c r="H32" s="28">
        <v>0.99674536500000011</v>
      </c>
      <c r="I32" s="28">
        <v>0.55600000000000005</v>
      </c>
      <c r="J32" s="28">
        <v>1.4622438600000003</v>
      </c>
      <c r="K32" s="29">
        <v>0.79100000000000004</v>
      </c>
      <c r="L32" s="28">
        <v>2.0802785849999998</v>
      </c>
      <c r="M32" s="130" t="s">
        <v>128</v>
      </c>
      <c r="N32" s="35" t="s">
        <v>133</v>
      </c>
      <c r="O32" s="135">
        <v>1000</v>
      </c>
      <c r="P32" s="135">
        <v>1</v>
      </c>
      <c r="Q32" s="33">
        <f t="shared" si="0"/>
        <v>328.74187499999999</v>
      </c>
      <c r="R32" s="33">
        <f t="shared" si="1"/>
        <v>620.66466000000014</v>
      </c>
      <c r="S32" s="33">
        <f t="shared" si="2"/>
        <v>996.74536500000011</v>
      </c>
      <c r="T32" s="33">
        <f t="shared" si="3"/>
        <v>1462.2438600000003</v>
      </c>
      <c r="U32" s="33">
        <f t="shared" si="4"/>
        <v>2080.278585</v>
      </c>
      <c r="V32" s="33">
        <f t="shared" si="5"/>
        <v>328.74187499999999</v>
      </c>
      <c r="W32" s="33">
        <f t="shared" si="6"/>
        <v>620.66466000000014</v>
      </c>
      <c r="X32" s="33">
        <f t="shared" si="7"/>
        <v>996.74536500000011</v>
      </c>
      <c r="Y32" s="33">
        <f t="shared" si="8"/>
        <v>1462.2438600000003</v>
      </c>
      <c r="Z32" s="33">
        <f t="shared" si="9"/>
        <v>2080.278585</v>
      </c>
    </row>
    <row r="33" spans="1:26" hidden="1" x14ac:dyDescent="0.25">
      <c r="A33" s="85" t="s">
        <v>22</v>
      </c>
      <c r="B33" s="77" t="s">
        <v>199</v>
      </c>
      <c r="C33" s="28">
        <v>0.15392749325002175</v>
      </c>
      <c r="D33" s="28">
        <v>0.40481930196049593</v>
      </c>
      <c r="E33" s="28">
        <v>0.37893651576316562</v>
      </c>
      <c r="F33" s="28">
        <v>0.99657840558360089</v>
      </c>
      <c r="G33" s="28">
        <v>0.59538658646021636</v>
      </c>
      <c r="H33" s="28">
        <v>1.5658280222622489</v>
      </c>
      <c r="I33" s="28">
        <v>0.84971838900000141</v>
      </c>
      <c r="J33" s="28">
        <v>2.2347041313747185</v>
      </c>
      <c r="K33" s="28">
        <v>1.3428742516056231</v>
      </c>
      <c r="L33" s="28">
        <v>3.5316719948964348</v>
      </c>
      <c r="M33" s="131" t="s">
        <v>198</v>
      </c>
      <c r="N33" s="35"/>
      <c r="O33" s="135">
        <v>1000</v>
      </c>
      <c r="P33" s="135">
        <v>1</v>
      </c>
      <c r="Q33" s="33">
        <f t="shared" si="0"/>
        <v>404.81930196049592</v>
      </c>
      <c r="R33" s="33">
        <f t="shared" si="1"/>
        <v>996.5784055836009</v>
      </c>
      <c r="S33" s="33">
        <f t="shared" si="2"/>
        <v>1565.8280222622489</v>
      </c>
      <c r="T33" s="33">
        <f t="shared" si="3"/>
        <v>2234.7041313747186</v>
      </c>
      <c r="U33" s="33">
        <f t="shared" si="4"/>
        <v>3531.6719948964346</v>
      </c>
      <c r="V33" s="33">
        <f t="shared" si="5"/>
        <v>404.81930196049592</v>
      </c>
      <c r="W33" s="33">
        <f t="shared" si="6"/>
        <v>996.5784055836009</v>
      </c>
      <c r="X33" s="33">
        <f t="shared" si="7"/>
        <v>1565.8280222622489</v>
      </c>
      <c r="Y33" s="33">
        <f t="shared" si="8"/>
        <v>2234.7041313747186</v>
      </c>
      <c r="Z33" s="33">
        <f t="shared" si="9"/>
        <v>3531.6719948964346</v>
      </c>
    </row>
    <row r="34" spans="1:26" x14ac:dyDescent="0.25">
      <c r="A34" s="31" t="s">
        <v>23</v>
      </c>
      <c r="B34" s="88" t="s">
        <v>203</v>
      </c>
      <c r="C34" s="28">
        <v>0.20599999999999999</v>
      </c>
      <c r="D34" s="28">
        <v>0.54176661000000004</v>
      </c>
      <c r="E34" s="28">
        <v>0.41299999999999998</v>
      </c>
      <c r="F34" s="28">
        <v>1.0861631549999999</v>
      </c>
      <c r="G34" s="28">
        <v>0.69499999999999995</v>
      </c>
      <c r="H34" s="28">
        <v>1.8278048250000001</v>
      </c>
      <c r="I34" s="28">
        <v>1.06</v>
      </c>
      <c r="J34" s="28">
        <v>2.7877310999999998</v>
      </c>
      <c r="K34" s="29">
        <v>1.516</v>
      </c>
      <c r="L34" s="28">
        <v>3.9869814600000004</v>
      </c>
      <c r="M34" s="130" t="s">
        <v>128</v>
      </c>
      <c r="N34" s="35"/>
      <c r="O34" s="135">
        <v>1000</v>
      </c>
      <c r="P34" s="135">
        <v>1</v>
      </c>
      <c r="Q34" s="33">
        <f t="shared" si="0"/>
        <v>541.76661000000001</v>
      </c>
      <c r="R34" s="33">
        <f t="shared" si="1"/>
        <v>1086.163155</v>
      </c>
      <c r="S34" s="33">
        <f t="shared" si="2"/>
        <v>1827.8048250000002</v>
      </c>
      <c r="T34" s="33">
        <f t="shared" si="3"/>
        <v>2787.7311</v>
      </c>
      <c r="U34" s="33">
        <f t="shared" si="4"/>
        <v>3986.9814600000004</v>
      </c>
      <c r="V34" s="33">
        <f t="shared" si="5"/>
        <v>541.76661000000001</v>
      </c>
      <c r="W34" s="33">
        <f t="shared" si="6"/>
        <v>1086.163155</v>
      </c>
      <c r="X34" s="33">
        <f t="shared" si="7"/>
        <v>1827.8048250000002</v>
      </c>
      <c r="Y34" s="33">
        <f t="shared" si="8"/>
        <v>2787.7311</v>
      </c>
      <c r="Z34" s="33">
        <f t="shared" si="9"/>
        <v>3986.9814600000004</v>
      </c>
    </row>
    <row r="35" spans="1:26" x14ac:dyDescent="0.25">
      <c r="A35" s="85" t="s">
        <v>23</v>
      </c>
      <c r="B35" s="77" t="s">
        <v>199</v>
      </c>
      <c r="C35" s="28">
        <v>0.21657651092854194</v>
      </c>
      <c r="D35" s="28">
        <v>0.56958214626885495</v>
      </c>
      <c r="E35" s="28">
        <v>0.52885328240384577</v>
      </c>
      <c r="F35" s="28">
        <v>1.3908497572587581</v>
      </c>
      <c r="G35" s="28">
        <v>0.77421299017539003</v>
      </c>
      <c r="H35" s="28">
        <v>2.0361298403169146</v>
      </c>
      <c r="I35" s="28">
        <v>1.139698442797263</v>
      </c>
      <c r="J35" s="28">
        <v>2.9973328241580197</v>
      </c>
      <c r="K35" s="28">
        <v>1.8531260035092387</v>
      </c>
      <c r="L35" s="28">
        <v>4.8736009360390691</v>
      </c>
      <c r="M35" s="131" t="s">
        <v>198</v>
      </c>
      <c r="N35" s="35"/>
      <c r="O35" s="135">
        <v>1000</v>
      </c>
      <c r="P35" s="135">
        <v>1</v>
      </c>
      <c r="Q35" s="33">
        <f t="shared" si="0"/>
        <v>569.5821462688549</v>
      </c>
      <c r="R35" s="33">
        <f t="shared" si="1"/>
        <v>1390.8497572587582</v>
      </c>
      <c r="S35" s="33">
        <f t="shared" si="2"/>
        <v>2036.1298403169146</v>
      </c>
      <c r="T35" s="33">
        <f t="shared" si="3"/>
        <v>2997.3328241580198</v>
      </c>
      <c r="U35" s="33">
        <f t="shared" si="4"/>
        <v>4873.600936039069</v>
      </c>
      <c r="V35" s="33">
        <f t="shared" si="5"/>
        <v>569.5821462688549</v>
      </c>
      <c r="W35" s="33">
        <f t="shared" si="6"/>
        <v>1390.8497572587582</v>
      </c>
      <c r="X35" s="33">
        <f t="shared" si="7"/>
        <v>2036.1298403169146</v>
      </c>
      <c r="Y35" s="33">
        <f t="shared" si="8"/>
        <v>2997.3328241580198</v>
      </c>
      <c r="Z35" s="33">
        <f t="shared" si="9"/>
        <v>4873.600936039069</v>
      </c>
    </row>
    <row r="36" spans="1:26" hidden="1" x14ac:dyDescent="0.25">
      <c r="A36" s="30" t="s">
        <v>24</v>
      </c>
      <c r="B36" s="80" t="s">
        <v>95</v>
      </c>
      <c r="C36" s="28">
        <v>8.8111193844626467E-3</v>
      </c>
      <c r="D36" s="28">
        <f>'Total especies y métodos'!D34</f>
        <v>3.769774343225004E-3</v>
      </c>
      <c r="E36" s="28">
        <f>'Total especies y métodos'!E34</f>
        <v>4.2000000000000003E-2</v>
      </c>
      <c r="F36" s="28">
        <f>'Total especies y métodos'!F34</f>
        <v>2.2674170139378728E-2</v>
      </c>
      <c r="G36" s="28">
        <f>'Total especies y métodos'!G34</f>
        <v>4.8687782805429861E-2</v>
      </c>
      <c r="H36" s="28">
        <f>'Total especies y métodos'!H34</f>
        <v>2.720900416725448E-2</v>
      </c>
      <c r="I36" s="28">
        <f>'Total especies y métodos'!I34</f>
        <v>0.15</v>
      </c>
      <c r="J36" s="28">
        <f>'Total especies y métodos'!J34</f>
        <v>6.9703150798753E-2</v>
      </c>
      <c r="K36" s="28">
        <f>'Total especies y métodos'!K34</f>
        <v>0.13102971665514859</v>
      </c>
      <c r="L36" s="28">
        <f>'Total especies y métodos'!L34</f>
        <v>0.22629552729785765</v>
      </c>
      <c r="M36" s="24" t="s">
        <v>81</v>
      </c>
      <c r="N36" s="35" t="s">
        <v>122</v>
      </c>
      <c r="O36" s="135">
        <v>1000</v>
      </c>
      <c r="P36" s="135">
        <v>1</v>
      </c>
      <c r="Q36" s="33">
        <f t="shared" si="0"/>
        <v>3.7697743432250039</v>
      </c>
      <c r="R36" s="33">
        <f t="shared" si="1"/>
        <v>22.674170139378727</v>
      </c>
      <c r="S36" s="33">
        <f t="shared" si="2"/>
        <v>27.209004167254481</v>
      </c>
      <c r="T36" s="33">
        <f t="shared" si="3"/>
        <v>69.703150798753001</v>
      </c>
      <c r="U36" s="33">
        <f t="shared" si="4"/>
        <v>226.29552729785766</v>
      </c>
      <c r="V36" s="33">
        <f t="shared" si="5"/>
        <v>3.7697743432250039</v>
      </c>
      <c r="W36" s="33">
        <f t="shared" si="6"/>
        <v>22.674170139378727</v>
      </c>
      <c r="X36" s="33">
        <f t="shared" si="7"/>
        <v>27.209004167254481</v>
      </c>
      <c r="Y36" s="33">
        <f t="shared" si="8"/>
        <v>69.703150798753001</v>
      </c>
      <c r="Z36" s="33">
        <f t="shared" si="9"/>
        <v>226.29552729785766</v>
      </c>
    </row>
    <row r="37" spans="1:26" hidden="1" x14ac:dyDescent="0.25">
      <c r="A37" s="31" t="s">
        <v>24</v>
      </c>
      <c r="B37" s="88" t="s">
        <v>203</v>
      </c>
      <c r="C37" s="28">
        <v>4.2571428571428573E-2</v>
      </c>
      <c r="D37" s="28">
        <v>7.3523198571428569E-2</v>
      </c>
      <c r="E37" s="28">
        <v>5.3214285714285714E-2</v>
      </c>
      <c r="F37" s="28">
        <v>9.1903998214285729E-2</v>
      </c>
      <c r="G37" s="28">
        <v>6.3857142857142848E-2</v>
      </c>
      <c r="H37" s="28">
        <v>0.11028479785714285</v>
      </c>
      <c r="I37" s="28">
        <v>7.4499999999999997E-2</v>
      </c>
      <c r="J37" s="28">
        <v>0.12866559750000001</v>
      </c>
      <c r="K37" s="28">
        <v>8.5142857142857145E-2</v>
      </c>
      <c r="L37" s="28">
        <v>0.14704639714285714</v>
      </c>
      <c r="M37" s="130" t="s">
        <v>128</v>
      </c>
      <c r="N37" s="35" t="s">
        <v>129</v>
      </c>
      <c r="O37" s="135">
        <v>1000</v>
      </c>
      <c r="P37" s="135">
        <v>1</v>
      </c>
      <c r="Q37" s="33">
        <f t="shared" si="0"/>
        <v>73.523198571428566</v>
      </c>
      <c r="R37" s="33">
        <f t="shared" si="1"/>
        <v>91.903998214285735</v>
      </c>
      <c r="S37" s="33">
        <f t="shared" si="2"/>
        <v>110.28479785714285</v>
      </c>
      <c r="T37" s="33">
        <f t="shared" si="3"/>
        <v>128.66559750000002</v>
      </c>
      <c r="U37" s="33">
        <f t="shared" si="4"/>
        <v>147.04639714285713</v>
      </c>
      <c r="V37" s="33">
        <f t="shared" si="5"/>
        <v>73.523198571428566</v>
      </c>
      <c r="W37" s="33">
        <f t="shared" si="6"/>
        <v>91.903998214285735</v>
      </c>
      <c r="X37" s="33">
        <f t="shared" si="7"/>
        <v>110.28479785714285</v>
      </c>
      <c r="Y37" s="33">
        <f t="shared" si="8"/>
        <v>128.66559750000002</v>
      </c>
      <c r="Z37" s="33">
        <f t="shared" si="9"/>
        <v>147.04639714285713</v>
      </c>
    </row>
    <row r="38" spans="1:26" hidden="1" x14ac:dyDescent="0.25">
      <c r="A38" s="85" t="s">
        <v>24</v>
      </c>
      <c r="B38" s="77" t="s">
        <v>199</v>
      </c>
      <c r="C38" s="28">
        <v>2.6003723150912643E-2</v>
      </c>
      <c r="D38" s="28">
        <v>4.4909860086399439E-2</v>
      </c>
      <c r="E38" s="28">
        <v>3.2504653938640805E-2</v>
      </c>
      <c r="F38" s="28">
        <v>5.6137325107999299E-2</v>
      </c>
      <c r="G38" s="28">
        <v>3.9005584726368968E-2</v>
      </c>
      <c r="H38" s="28">
        <v>6.7364790129599159E-2</v>
      </c>
      <c r="I38" s="28">
        <v>4.5506515514097123E-2</v>
      </c>
      <c r="J38" s="28">
        <v>7.8592255151199011E-2</v>
      </c>
      <c r="K38" s="28">
        <v>5.2007446301825286E-2</v>
      </c>
      <c r="L38" s="28">
        <v>8.9819720172798878E-2</v>
      </c>
      <c r="M38" s="131" t="s">
        <v>198</v>
      </c>
      <c r="N38" s="35"/>
      <c r="O38" s="135">
        <v>1000</v>
      </c>
      <c r="P38" s="135">
        <v>1</v>
      </c>
      <c r="Q38" s="33">
        <f t="shared" si="0"/>
        <v>44.909860086399441</v>
      </c>
      <c r="R38" s="33">
        <f t="shared" si="1"/>
        <v>56.137325107999295</v>
      </c>
      <c r="S38" s="33">
        <f t="shared" si="2"/>
        <v>67.364790129599157</v>
      </c>
      <c r="T38" s="33">
        <f t="shared" si="3"/>
        <v>78.592255151199012</v>
      </c>
      <c r="U38" s="33">
        <f t="shared" si="4"/>
        <v>89.819720172798881</v>
      </c>
      <c r="V38" s="33">
        <f t="shared" si="5"/>
        <v>44.909860086399441</v>
      </c>
      <c r="W38" s="33">
        <f t="shared" si="6"/>
        <v>56.137325107999295</v>
      </c>
      <c r="X38" s="33">
        <f t="shared" si="7"/>
        <v>67.364790129599157</v>
      </c>
      <c r="Y38" s="33">
        <f t="shared" si="8"/>
        <v>78.592255151199012</v>
      </c>
      <c r="Z38" s="33">
        <f t="shared" si="9"/>
        <v>89.819720172798881</v>
      </c>
    </row>
    <row r="39" spans="1:26" hidden="1" x14ac:dyDescent="0.25">
      <c r="A39" s="127" t="s">
        <v>24</v>
      </c>
      <c r="B39" s="126"/>
      <c r="C39" s="28"/>
      <c r="D39" s="28">
        <v>3.2941541673333324E-2</v>
      </c>
      <c r="E39" s="28"/>
      <c r="F39" s="28">
        <v>5.5124144023437502E-2</v>
      </c>
      <c r="G39" s="28"/>
      <c r="H39" s="28">
        <v>0.11843504199999999</v>
      </c>
      <c r="I39" s="28"/>
      <c r="J39" s="28">
        <v>0.17066866221913576</v>
      </c>
      <c r="K39" s="28"/>
      <c r="L39" s="28">
        <v>0.24759816345000005</v>
      </c>
      <c r="M39" s="133" t="s">
        <v>85</v>
      </c>
      <c r="N39" s="35"/>
      <c r="O39" s="135">
        <v>1000</v>
      </c>
      <c r="P39" s="135">
        <v>1</v>
      </c>
      <c r="Q39" s="33">
        <f t="shared" si="0"/>
        <v>32.941541673333326</v>
      </c>
      <c r="R39" s="33">
        <f t="shared" si="1"/>
        <v>55.124144023437502</v>
      </c>
      <c r="S39" s="33">
        <f t="shared" si="2"/>
        <v>118.435042</v>
      </c>
      <c r="T39" s="33">
        <f t="shared" si="3"/>
        <v>170.66866221913577</v>
      </c>
      <c r="U39" s="33">
        <f t="shared" si="4"/>
        <v>247.59816345000004</v>
      </c>
      <c r="V39" s="33">
        <f t="shared" si="5"/>
        <v>32.941541673333326</v>
      </c>
      <c r="W39" s="33">
        <f t="shared" si="6"/>
        <v>55.124144023437502</v>
      </c>
      <c r="X39" s="33">
        <f t="shared" si="7"/>
        <v>118.435042</v>
      </c>
      <c r="Y39" s="33">
        <f t="shared" si="8"/>
        <v>170.66866221913577</v>
      </c>
      <c r="Z39" s="33">
        <f t="shared" si="9"/>
        <v>247.59816345000004</v>
      </c>
    </row>
    <row r="40" spans="1:26" hidden="1" x14ac:dyDescent="0.25">
      <c r="A40" s="31" t="s">
        <v>1</v>
      </c>
      <c r="B40" s="88" t="s">
        <v>203</v>
      </c>
      <c r="C40" s="28">
        <v>5.5E-2</v>
      </c>
      <c r="D40" s="28">
        <v>0.12587226666666668</v>
      </c>
      <c r="E40" s="28">
        <v>6.8750000000000006E-2</v>
      </c>
      <c r="F40" s="28">
        <v>0.15734033333333336</v>
      </c>
      <c r="G40" s="28">
        <v>8.2500000000000004E-2</v>
      </c>
      <c r="H40" s="28">
        <v>0.18880840000000004</v>
      </c>
      <c r="I40" s="28">
        <v>9.6250000000000002E-2</v>
      </c>
      <c r="J40" s="28">
        <v>0.22027646666666667</v>
      </c>
      <c r="K40" s="29">
        <v>0.11</v>
      </c>
      <c r="L40" s="28">
        <v>0.25174453333333335</v>
      </c>
      <c r="M40" s="130" t="s">
        <v>128</v>
      </c>
      <c r="N40" s="35" t="s">
        <v>134</v>
      </c>
      <c r="O40" s="135">
        <v>1000</v>
      </c>
      <c r="P40" s="135">
        <v>1</v>
      </c>
      <c r="Q40" s="33">
        <f t="shared" si="0"/>
        <v>125.87226666666668</v>
      </c>
      <c r="R40" s="33">
        <f t="shared" si="1"/>
        <v>157.34033333333335</v>
      </c>
      <c r="S40" s="33">
        <f t="shared" si="2"/>
        <v>188.80840000000003</v>
      </c>
      <c r="T40" s="33">
        <f t="shared" si="3"/>
        <v>220.27646666666666</v>
      </c>
      <c r="U40" s="33">
        <f t="shared" si="4"/>
        <v>251.74453333333335</v>
      </c>
      <c r="V40" s="33">
        <f t="shared" si="5"/>
        <v>125.87226666666668</v>
      </c>
      <c r="W40" s="33">
        <f t="shared" si="6"/>
        <v>157.34033333333335</v>
      </c>
      <c r="X40" s="33">
        <f t="shared" si="7"/>
        <v>188.80840000000003</v>
      </c>
      <c r="Y40" s="33">
        <f t="shared" si="8"/>
        <v>220.27646666666666</v>
      </c>
      <c r="Z40" s="33">
        <f t="shared" si="9"/>
        <v>251.74453333333335</v>
      </c>
    </row>
    <row r="41" spans="1:26" hidden="1" x14ac:dyDescent="0.25">
      <c r="A41" s="85" t="s">
        <v>1</v>
      </c>
      <c r="B41" s="77" t="s">
        <v>199</v>
      </c>
      <c r="C41" s="28">
        <v>3.9761341679913867E-2</v>
      </c>
      <c r="D41" s="28">
        <v>9.0997276417428483E-2</v>
      </c>
      <c r="E41" s="28">
        <v>4.970167709989233E-2</v>
      </c>
      <c r="F41" s="28">
        <v>0.11374659552178558</v>
      </c>
      <c r="G41" s="28">
        <v>8.0707300439288143E-2</v>
      </c>
      <c r="H41" s="28">
        <v>0.18470565168801564</v>
      </c>
      <c r="I41" s="28">
        <v>0.12556522035551965</v>
      </c>
      <c r="J41" s="28">
        <v>0.28736688910270414</v>
      </c>
      <c r="K41" s="28">
        <v>0.14350310897773672</v>
      </c>
      <c r="L41" s="28">
        <v>0.32841930183166185</v>
      </c>
      <c r="M41" s="131" t="s">
        <v>198</v>
      </c>
      <c r="N41" s="35"/>
      <c r="O41" s="135">
        <v>1000</v>
      </c>
      <c r="P41" s="135">
        <v>1</v>
      </c>
      <c r="Q41" s="33">
        <f t="shared" si="0"/>
        <v>90.99727641742848</v>
      </c>
      <c r="R41" s="33">
        <f t="shared" si="1"/>
        <v>113.74659552178558</v>
      </c>
      <c r="S41" s="33">
        <f t="shared" si="2"/>
        <v>184.70565168801565</v>
      </c>
      <c r="T41" s="33">
        <f t="shared" si="3"/>
        <v>287.36688910270414</v>
      </c>
      <c r="U41" s="33">
        <f t="shared" si="4"/>
        <v>328.41930183166187</v>
      </c>
      <c r="V41" s="33">
        <f t="shared" si="5"/>
        <v>90.99727641742848</v>
      </c>
      <c r="W41" s="33">
        <f t="shared" si="6"/>
        <v>113.74659552178558</v>
      </c>
      <c r="X41" s="33">
        <f t="shared" si="7"/>
        <v>184.70565168801565</v>
      </c>
      <c r="Y41" s="33">
        <f t="shared" si="8"/>
        <v>287.36688910270414</v>
      </c>
      <c r="Z41" s="33">
        <f t="shared" si="9"/>
        <v>328.41930183166187</v>
      </c>
    </row>
    <row r="42" spans="1:26" hidden="1" x14ac:dyDescent="0.25">
      <c r="A42" s="84" t="s">
        <v>25</v>
      </c>
      <c r="B42" s="77" t="s">
        <v>199</v>
      </c>
      <c r="C42" s="28">
        <v>1.6425143721851405E-2</v>
      </c>
      <c r="D42" s="28">
        <v>3.1871348877880464E-2</v>
      </c>
      <c r="E42" s="28">
        <v>2.0531429652314255E-2</v>
      </c>
      <c r="F42" s="28">
        <v>3.9839186097350585E-2</v>
      </c>
      <c r="G42" s="28">
        <v>2.4637715582777105E-2</v>
      </c>
      <c r="H42" s="28">
        <v>4.7807023316820692E-2</v>
      </c>
      <c r="I42" s="28">
        <v>4.3231905657951541E-2</v>
      </c>
      <c r="J42" s="28">
        <v>8.388718973868918E-2</v>
      </c>
      <c r="K42" s="28">
        <v>4.9407892180516048E-2</v>
      </c>
      <c r="L42" s="28">
        <v>9.5871073987073341E-2</v>
      </c>
      <c r="M42" s="131" t="s">
        <v>198</v>
      </c>
      <c r="N42" s="35"/>
      <c r="O42" s="135">
        <v>1000</v>
      </c>
      <c r="P42" s="135">
        <v>1</v>
      </c>
      <c r="Q42" s="33">
        <f t="shared" si="0"/>
        <v>31.871348877880465</v>
      </c>
      <c r="R42" s="33">
        <f t="shared" si="1"/>
        <v>39.839186097350584</v>
      </c>
      <c r="S42" s="33">
        <f t="shared" si="2"/>
        <v>47.80702331682069</v>
      </c>
      <c r="T42" s="33">
        <f t="shared" si="3"/>
        <v>83.887189738689173</v>
      </c>
      <c r="U42" s="33">
        <f t="shared" si="4"/>
        <v>95.871073987073345</v>
      </c>
      <c r="V42" s="33">
        <f t="shared" si="5"/>
        <v>31.871348877880465</v>
      </c>
      <c r="W42" s="33">
        <f t="shared" si="6"/>
        <v>39.839186097350584</v>
      </c>
      <c r="X42" s="33">
        <f t="shared" si="7"/>
        <v>47.80702331682069</v>
      </c>
      <c r="Y42" s="33">
        <f t="shared" si="8"/>
        <v>83.887189738689173</v>
      </c>
      <c r="Z42" s="33">
        <f t="shared" si="9"/>
        <v>95.871073987073345</v>
      </c>
    </row>
    <row r="43" spans="1:26" hidden="1" x14ac:dyDescent="0.25">
      <c r="A43" s="84" t="s">
        <v>26</v>
      </c>
      <c r="B43" s="77" t="s">
        <v>199</v>
      </c>
      <c r="C43" s="28">
        <v>1.8499049966165151E-2</v>
      </c>
      <c r="D43" s="28">
        <v>3.5895556554346862E-2</v>
      </c>
      <c r="E43" s="28">
        <v>2.3123812457706443E-2</v>
      </c>
      <c r="F43" s="28">
        <v>4.4869445692933579E-2</v>
      </c>
      <c r="G43" s="28">
        <v>2.7748574949247731E-2</v>
      </c>
      <c r="H43" s="28">
        <v>5.3843334831520297E-2</v>
      </c>
      <c r="I43" s="28">
        <v>6.189334461449373E-2</v>
      </c>
      <c r="J43" s="28">
        <v>0.12009784588996364</v>
      </c>
      <c r="K43" s="28">
        <v>7.073525098799284E-2</v>
      </c>
      <c r="L43" s="28">
        <v>0.13725468101710131</v>
      </c>
      <c r="M43" s="131" t="s">
        <v>198</v>
      </c>
      <c r="N43" s="35"/>
      <c r="O43" s="135">
        <v>1000</v>
      </c>
      <c r="P43" s="135">
        <v>1</v>
      </c>
      <c r="Q43" s="33">
        <f t="shared" si="0"/>
        <v>35.895556554346861</v>
      </c>
      <c r="R43" s="33">
        <f t="shared" si="1"/>
        <v>44.869445692933581</v>
      </c>
      <c r="S43" s="33">
        <f t="shared" si="2"/>
        <v>53.843334831520295</v>
      </c>
      <c r="T43" s="33">
        <f t="shared" si="3"/>
        <v>120.09784588996364</v>
      </c>
      <c r="U43" s="33">
        <f t="shared" si="4"/>
        <v>137.25468101710132</v>
      </c>
      <c r="V43" s="33">
        <f t="shared" si="5"/>
        <v>35.895556554346861</v>
      </c>
      <c r="W43" s="33">
        <f t="shared" si="6"/>
        <v>44.869445692933581</v>
      </c>
      <c r="X43" s="33">
        <f t="shared" si="7"/>
        <v>53.843334831520295</v>
      </c>
      <c r="Y43" s="33">
        <f t="shared" si="8"/>
        <v>120.09784588996364</v>
      </c>
      <c r="Z43" s="33">
        <f t="shared" si="9"/>
        <v>137.25468101710132</v>
      </c>
    </row>
    <row r="44" spans="1:26" hidden="1" x14ac:dyDescent="0.25">
      <c r="A44" s="84" t="s">
        <v>189</v>
      </c>
      <c r="B44" s="77" t="s">
        <v>199</v>
      </c>
      <c r="C44" s="28">
        <v>5.7798455470010439E-3</v>
      </c>
      <c r="D44" s="28">
        <v>1.138475443544619E-2</v>
      </c>
      <c r="E44" s="28">
        <v>7.224806933751304E-3</v>
      </c>
      <c r="F44" s="28">
        <v>1.4230943044307736E-2</v>
      </c>
      <c r="G44" s="28">
        <v>8.6697683205015658E-3</v>
      </c>
      <c r="H44" s="28">
        <v>1.7077131653169285E-2</v>
      </c>
      <c r="I44" s="28">
        <v>1.0114729707251826E-2</v>
      </c>
      <c r="J44" s="28">
        <v>1.9923320262030829E-2</v>
      </c>
      <c r="K44" s="28">
        <v>1.1559691094002088E-2</v>
      </c>
      <c r="L44" s="28">
        <v>2.276950887089238E-2</v>
      </c>
      <c r="M44" s="131" t="s">
        <v>198</v>
      </c>
      <c r="N44" s="35"/>
      <c r="O44" s="135">
        <v>1000</v>
      </c>
      <c r="P44" s="135">
        <v>1</v>
      </c>
      <c r="Q44" s="33">
        <f t="shared" si="0"/>
        <v>11.38475443544619</v>
      </c>
      <c r="R44" s="33">
        <f t="shared" si="1"/>
        <v>14.230943044307736</v>
      </c>
      <c r="S44" s="33">
        <f t="shared" si="2"/>
        <v>17.077131653169285</v>
      </c>
      <c r="T44" s="33">
        <f t="shared" si="3"/>
        <v>19.923320262030828</v>
      </c>
      <c r="U44" s="33">
        <f t="shared" si="4"/>
        <v>22.769508870892381</v>
      </c>
      <c r="V44" s="33">
        <f t="shared" si="5"/>
        <v>11.38475443544619</v>
      </c>
      <c r="W44" s="33">
        <f t="shared" si="6"/>
        <v>14.230943044307736</v>
      </c>
      <c r="X44" s="33">
        <f t="shared" si="7"/>
        <v>17.077131653169285</v>
      </c>
      <c r="Y44" s="33">
        <f t="shared" si="8"/>
        <v>19.923320262030828</v>
      </c>
      <c r="Z44" s="33">
        <f t="shared" si="9"/>
        <v>22.769508870892381</v>
      </c>
    </row>
    <row r="45" spans="1:26" hidden="1" x14ac:dyDescent="0.25">
      <c r="A45" s="84" t="s">
        <v>190</v>
      </c>
      <c r="B45" s="77" t="s">
        <v>199</v>
      </c>
      <c r="C45" s="28">
        <v>9.5725715263053086E-3</v>
      </c>
      <c r="D45" s="28">
        <v>1.885541322108111E-2</v>
      </c>
      <c r="E45" s="28">
        <v>1.1965714407881635E-2</v>
      </c>
      <c r="F45" s="28">
        <v>2.3569266526351388E-2</v>
      </c>
      <c r="G45" s="28">
        <v>1.4358857289457962E-2</v>
      </c>
      <c r="H45" s="28">
        <v>2.8283119831621666E-2</v>
      </c>
      <c r="I45" s="28">
        <v>1.675200017103429E-2</v>
      </c>
      <c r="J45" s="28">
        <v>3.2996973136891941E-2</v>
      </c>
      <c r="K45" s="28">
        <v>1.9145143052610617E-2</v>
      </c>
      <c r="L45" s="28">
        <v>3.7710826442162219E-2</v>
      </c>
      <c r="M45" s="131" t="s">
        <v>198</v>
      </c>
      <c r="N45" s="35"/>
      <c r="O45" s="135">
        <v>1000</v>
      </c>
      <c r="P45" s="135">
        <v>1</v>
      </c>
      <c r="Q45" s="33">
        <f t="shared" si="0"/>
        <v>18.855413221081111</v>
      </c>
      <c r="R45" s="33">
        <f t="shared" si="1"/>
        <v>23.569266526351388</v>
      </c>
      <c r="S45" s="33">
        <f t="shared" si="2"/>
        <v>28.283119831621665</v>
      </c>
      <c r="T45" s="33">
        <f t="shared" si="3"/>
        <v>32.996973136891938</v>
      </c>
      <c r="U45" s="33">
        <f t="shared" si="4"/>
        <v>37.710826442162222</v>
      </c>
      <c r="V45" s="33">
        <f t="shared" si="5"/>
        <v>18.855413221081111</v>
      </c>
      <c r="W45" s="33">
        <f t="shared" si="6"/>
        <v>23.569266526351388</v>
      </c>
      <c r="X45" s="33">
        <f t="shared" si="7"/>
        <v>28.283119831621665</v>
      </c>
      <c r="Y45" s="33">
        <f t="shared" si="8"/>
        <v>32.996973136891938</v>
      </c>
      <c r="Z45" s="33">
        <f t="shared" si="9"/>
        <v>37.710826442162222</v>
      </c>
    </row>
    <row r="46" spans="1:26" hidden="1" x14ac:dyDescent="0.25">
      <c r="A46" s="84" t="s">
        <v>105</v>
      </c>
      <c r="B46" s="77" t="s">
        <v>199</v>
      </c>
      <c r="C46" s="28">
        <v>7.0783056874107976E-3</v>
      </c>
      <c r="D46" s="28">
        <v>1.3942374656015961E-2</v>
      </c>
      <c r="E46" s="28">
        <v>8.8478821092634972E-3</v>
      </c>
      <c r="F46" s="28">
        <v>1.742796832001995E-2</v>
      </c>
      <c r="G46" s="28">
        <v>1.0617458531116196E-2</v>
      </c>
      <c r="H46" s="28">
        <v>2.0913561984023939E-2</v>
      </c>
      <c r="I46" s="28">
        <v>1.2387034952968895E-2</v>
      </c>
      <c r="J46" s="28">
        <v>2.4399155648027929E-2</v>
      </c>
      <c r="K46" s="28">
        <v>1.4156611374821595E-2</v>
      </c>
      <c r="L46" s="28">
        <v>2.7884749312031921E-2</v>
      </c>
      <c r="M46" s="131" t="s">
        <v>198</v>
      </c>
      <c r="N46" s="35"/>
      <c r="O46" s="135">
        <v>1000</v>
      </c>
      <c r="P46" s="135">
        <v>1</v>
      </c>
      <c r="Q46" s="33">
        <f t="shared" si="0"/>
        <v>13.942374656015961</v>
      </c>
      <c r="R46" s="33">
        <f t="shared" si="1"/>
        <v>17.42796832001995</v>
      </c>
      <c r="S46" s="33">
        <f t="shared" si="2"/>
        <v>20.913561984023939</v>
      </c>
      <c r="T46" s="33">
        <f t="shared" si="3"/>
        <v>24.399155648027929</v>
      </c>
      <c r="U46" s="33">
        <f t="shared" si="4"/>
        <v>27.884749312031921</v>
      </c>
      <c r="V46" s="33">
        <f t="shared" si="5"/>
        <v>13.942374656015961</v>
      </c>
      <c r="W46" s="33">
        <f t="shared" si="6"/>
        <v>17.42796832001995</v>
      </c>
      <c r="X46" s="33">
        <f t="shared" si="7"/>
        <v>20.913561984023939</v>
      </c>
      <c r="Y46" s="33">
        <f t="shared" si="8"/>
        <v>24.399155648027929</v>
      </c>
      <c r="Z46" s="33">
        <f t="shared" si="9"/>
        <v>27.884749312031921</v>
      </c>
    </row>
    <row r="47" spans="1:26" hidden="1" x14ac:dyDescent="0.25">
      <c r="A47" s="84" t="s">
        <v>191</v>
      </c>
      <c r="B47" s="77" t="s">
        <v>199</v>
      </c>
      <c r="C47" s="28">
        <v>0.34197058899230237</v>
      </c>
      <c r="D47" s="28">
        <v>0.51560045604332738</v>
      </c>
      <c r="E47" s="28">
        <v>0.54059250060134179</v>
      </c>
      <c r="F47" s="28">
        <v>0.81506933290666295</v>
      </c>
      <c r="G47" s="28">
        <v>0.64871100072161014</v>
      </c>
      <c r="H47" s="28">
        <v>0.97808319948799549</v>
      </c>
      <c r="I47" s="28">
        <v>0.86363081643836814</v>
      </c>
      <c r="J47" s="28">
        <v>1.3021249696380088</v>
      </c>
      <c r="K47" s="28">
        <v>1.1176085358157115</v>
      </c>
      <c r="L47" s="28">
        <v>1.6850556430672088</v>
      </c>
      <c r="M47" s="131" t="s">
        <v>198</v>
      </c>
      <c r="N47" s="35"/>
      <c r="O47" s="135">
        <v>1000</v>
      </c>
      <c r="P47" s="135">
        <v>1</v>
      </c>
      <c r="Q47" s="33">
        <f t="shared" si="0"/>
        <v>515.60045604332743</v>
      </c>
      <c r="R47" s="33">
        <f t="shared" si="1"/>
        <v>815.06933290666291</v>
      </c>
      <c r="S47" s="33">
        <f t="shared" si="2"/>
        <v>978.08319948799544</v>
      </c>
      <c r="T47" s="33">
        <f t="shared" si="3"/>
        <v>1302.1249696380089</v>
      </c>
      <c r="U47" s="33">
        <f t="shared" si="4"/>
        <v>1685.0556430672088</v>
      </c>
      <c r="V47" s="33">
        <f t="shared" si="5"/>
        <v>515.60045604332743</v>
      </c>
      <c r="W47" s="33">
        <f t="shared" si="6"/>
        <v>815.06933290666291</v>
      </c>
      <c r="X47" s="33">
        <f t="shared" si="7"/>
        <v>978.08319948799544</v>
      </c>
      <c r="Y47" s="33">
        <f t="shared" si="8"/>
        <v>1302.1249696380089</v>
      </c>
      <c r="Z47" s="33">
        <f t="shared" si="9"/>
        <v>1685.0556430672088</v>
      </c>
    </row>
    <row r="48" spans="1:26" hidden="1" x14ac:dyDescent="0.25">
      <c r="A48" s="2" t="s">
        <v>27</v>
      </c>
      <c r="B48" s="79"/>
      <c r="C48" s="28"/>
      <c r="D48" s="28"/>
      <c r="E48" s="28"/>
      <c r="F48" s="28"/>
      <c r="G48" s="28"/>
      <c r="H48" s="28"/>
      <c r="I48" s="28"/>
      <c r="J48" s="28"/>
      <c r="K48" s="28"/>
      <c r="L48" s="28"/>
      <c r="M48" s="132"/>
      <c r="N48" s="35"/>
      <c r="O48" s="135">
        <v>1000</v>
      </c>
      <c r="P48" s="135">
        <v>1</v>
      </c>
      <c r="Q48" s="33">
        <f t="shared" si="0"/>
        <v>0</v>
      </c>
      <c r="R48" s="33">
        <f t="shared" si="1"/>
        <v>0</v>
      </c>
      <c r="S48" s="33">
        <f t="shared" si="2"/>
        <v>0</v>
      </c>
      <c r="T48" s="33">
        <f t="shared" si="3"/>
        <v>0</v>
      </c>
      <c r="U48" s="33">
        <f t="shared" si="4"/>
        <v>0</v>
      </c>
      <c r="V48" s="33">
        <f t="shared" si="5"/>
        <v>0</v>
      </c>
      <c r="W48" s="33">
        <f t="shared" si="6"/>
        <v>0</v>
      </c>
      <c r="X48" s="33">
        <f t="shared" si="7"/>
        <v>0</v>
      </c>
      <c r="Y48" s="33">
        <f t="shared" si="8"/>
        <v>0</v>
      </c>
      <c r="Z48" s="33">
        <f t="shared" si="9"/>
        <v>0</v>
      </c>
    </row>
    <row r="49" spans="1:26" hidden="1" x14ac:dyDescent="0.25">
      <c r="A49" s="2" t="s">
        <v>28</v>
      </c>
      <c r="B49" s="82"/>
      <c r="C49" s="28"/>
      <c r="D49" s="28"/>
      <c r="E49" s="28"/>
      <c r="F49" s="28"/>
      <c r="G49" s="28"/>
      <c r="H49" s="28"/>
      <c r="I49" s="28"/>
      <c r="J49" s="28"/>
      <c r="K49" s="28"/>
      <c r="L49" s="28"/>
      <c r="M49" s="132"/>
      <c r="N49" s="35"/>
      <c r="O49" s="135">
        <v>1000</v>
      </c>
      <c r="P49" s="135">
        <v>1</v>
      </c>
      <c r="Q49" s="33">
        <f t="shared" si="0"/>
        <v>0</v>
      </c>
      <c r="R49" s="33">
        <f t="shared" si="1"/>
        <v>0</v>
      </c>
      <c r="S49" s="33">
        <f t="shared" si="2"/>
        <v>0</v>
      </c>
      <c r="T49" s="33">
        <f t="shared" si="3"/>
        <v>0</v>
      </c>
      <c r="U49" s="33">
        <f t="shared" si="4"/>
        <v>0</v>
      </c>
      <c r="V49" s="33">
        <f t="shared" si="5"/>
        <v>0</v>
      </c>
      <c r="W49" s="33">
        <f t="shared" si="6"/>
        <v>0</v>
      </c>
      <c r="X49" s="33">
        <f t="shared" si="7"/>
        <v>0</v>
      </c>
      <c r="Y49" s="33">
        <f t="shared" si="8"/>
        <v>0</v>
      </c>
      <c r="Z49" s="33">
        <f t="shared" si="9"/>
        <v>0</v>
      </c>
    </row>
    <row r="50" spans="1:26" hidden="1" x14ac:dyDescent="0.25">
      <c r="A50" s="2" t="s">
        <v>29</v>
      </c>
      <c r="B50" s="79"/>
      <c r="C50" s="28"/>
      <c r="D50" s="28"/>
      <c r="E50" s="28"/>
      <c r="F50" s="28"/>
      <c r="G50" s="28"/>
      <c r="H50" s="28"/>
      <c r="I50" s="28"/>
      <c r="J50" s="28"/>
      <c r="K50" s="28"/>
      <c r="L50" s="28"/>
      <c r="M50" s="132"/>
      <c r="N50" s="35"/>
      <c r="O50" s="135">
        <v>1000</v>
      </c>
      <c r="P50" s="135">
        <v>1</v>
      </c>
      <c r="Q50" s="33">
        <f t="shared" si="0"/>
        <v>0</v>
      </c>
      <c r="R50" s="33">
        <f t="shared" si="1"/>
        <v>0</v>
      </c>
      <c r="S50" s="33">
        <f t="shared" si="2"/>
        <v>0</v>
      </c>
      <c r="T50" s="33">
        <f t="shared" si="3"/>
        <v>0</v>
      </c>
      <c r="U50" s="33">
        <f t="shared" si="4"/>
        <v>0</v>
      </c>
      <c r="V50" s="33">
        <f t="shared" si="5"/>
        <v>0</v>
      </c>
      <c r="W50" s="33">
        <f t="shared" si="6"/>
        <v>0</v>
      </c>
      <c r="X50" s="33">
        <f t="shared" si="7"/>
        <v>0</v>
      </c>
      <c r="Y50" s="33">
        <f t="shared" si="8"/>
        <v>0</v>
      </c>
      <c r="Z50" s="33">
        <f t="shared" si="9"/>
        <v>0</v>
      </c>
    </row>
    <row r="51" spans="1:26" hidden="1" x14ac:dyDescent="0.25">
      <c r="A51" s="2" t="s">
        <v>33</v>
      </c>
      <c r="B51" s="79"/>
      <c r="C51" s="28"/>
      <c r="D51" s="28"/>
      <c r="E51" s="28"/>
      <c r="F51" s="28"/>
      <c r="G51" s="28"/>
      <c r="H51" s="28"/>
      <c r="I51" s="28"/>
      <c r="J51" s="28"/>
      <c r="K51" s="28"/>
      <c r="L51" s="28"/>
      <c r="M51" s="132"/>
      <c r="N51" s="35"/>
      <c r="O51" s="135">
        <v>1000</v>
      </c>
      <c r="P51" s="135">
        <v>1</v>
      </c>
      <c r="Q51" s="33">
        <f t="shared" si="0"/>
        <v>0</v>
      </c>
      <c r="R51" s="33">
        <f t="shared" si="1"/>
        <v>0</v>
      </c>
      <c r="S51" s="33">
        <f t="shared" si="2"/>
        <v>0</v>
      </c>
      <c r="T51" s="33">
        <f t="shared" si="3"/>
        <v>0</v>
      </c>
      <c r="U51" s="33">
        <f t="shared" si="4"/>
        <v>0</v>
      </c>
      <c r="V51" s="33">
        <f t="shared" si="5"/>
        <v>0</v>
      </c>
      <c r="W51" s="33">
        <f t="shared" si="6"/>
        <v>0</v>
      </c>
      <c r="X51" s="33">
        <f t="shared" si="7"/>
        <v>0</v>
      </c>
      <c r="Y51" s="33">
        <f t="shared" si="8"/>
        <v>0</v>
      </c>
      <c r="Z51" s="33">
        <f t="shared" si="9"/>
        <v>0</v>
      </c>
    </row>
    <row r="52" spans="1:26" hidden="1" x14ac:dyDescent="0.25">
      <c r="A52" s="2" t="s">
        <v>34</v>
      </c>
      <c r="B52" s="79"/>
      <c r="C52" s="28"/>
      <c r="D52" s="28"/>
      <c r="E52" s="28"/>
      <c r="F52" s="28"/>
      <c r="G52" s="28"/>
      <c r="H52" s="28"/>
      <c r="I52" s="28"/>
      <c r="J52" s="28"/>
      <c r="K52" s="28"/>
      <c r="L52" s="28"/>
      <c r="M52" s="132"/>
      <c r="N52" s="35"/>
      <c r="O52" s="135">
        <v>1000</v>
      </c>
      <c r="P52" s="135">
        <v>1</v>
      </c>
      <c r="Q52" s="33">
        <f t="shared" si="0"/>
        <v>0</v>
      </c>
      <c r="R52" s="33">
        <f t="shared" si="1"/>
        <v>0</v>
      </c>
      <c r="S52" s="33">
        <f t="shared" si="2"/>
        <v>0</v>
      </c>
      <c r="T52" s="33">
        <f t="shared" si="3"/>
        <v>0</v>
      </c>
      <c r="U52" s="33">
        <f t="shared" si="4"/>
        <v>0</v>
      </c>
      <c r="V52" s="33">
        <f t="shared" si="5"/>
        <v>0</v>
      </c>
      <c r="W52" s="33">
        <f t="shared" si="6"/>
        <v>0</v>
      </c>
      <c r="X52" s="33">
        <f t="shared" si="7"/>
        <v>0</v>
      </c>
      <c r="Y52" s="33">
        <f t="shared" si="8"/>
        <v>0</v>
      </c>
      <c r="Z52" s="33">
        <f t="shared" si="9"/>
        <v>0</v>
      </c>
    </row>
    <row r="53" spans="1:26" hidden="1" x14ac:dyDescent="0.25">
      <c r="A53" s="84" t="s">
        <v>171</v>
      </c>
      <c r="B53" s="77" t="s">
        <v>199</v>
      </c>
      <c r="C53" s="28">
        <v>1.275303928793441E-2</v>
      </c>
      <c r="D53" s="28">
        <v>3.8995053250978962E-2</v>
      </c>
      <c r="E53" s="28">
        <v>1.5941299109918011E-2</v>
      </c>
      <c r="F53" s="28">
        <v>4.8743816563723702E-2</v>
      </c>
      <c r="G53" s="28">
        <v>2.7498353715506931E-2</v>
      </c>
      <c r="H53" s="28">
        <v>8.4081899478263639E-2</v>
      </c>
      <c r="I53" s="28">
        <v>3.2081412668091419E-2</v>
      </c>
      <c r="J53" s="28">
        <v>9.8095549391307588E-2</v>
      </c>
      <c r="K53" s="28">
        <v>3.6664471620675911E-2</v>
      </c>
      <c r="L53" s="28">
        <v>0.11210919930435154</v>
      </c>
      <c r="M53" s="131" t="s">
        <v>198</v>
      </c>
      <c r="N53" s="35"/>
      <c r="O53" s="135">
        <v>1000</v>
      </c>
      <c r="P53" s="135">
        <v>1</v>
      </c>
      <c r="Q53" s="33">
        <f t="shared" si="0"/>
        <v>38.995053250978962</v>
      </c>
      <c r="R53" s="33">
        <f t="shared" si="1"/>
        <v>48.743816563723705</v>
      </c>
      <c r="S53" s="33">
        <f t="shared" si="2"/>
        <v>84.081899478263637</v>
      </c>
      <c r="T53" s="33">
        <f t="shared" si="3"/>
        <v>98.095549391307586</v>
      </c>
      <c r="U53" s="33">
        <f t="shared" si="4"/>
        <v>112.10919930435153</v>
      </c>
      <c r="V53" s="33">
        <f t="shared" si="5"/>
        <v>38.995053250978962</v>
      </c>
      <c r="W53" s="33">
        <f t="shared" si="6"/>
        <v>48.743816563723705</v>
      </c>
      <c r="X53" s="33">
        <f t="shared" si="7"/>
        <v>84.081899478263637</v>
      </c>
      <c r="Y53" s="33">
        <f t="shared" si="8"/>
        <v>98.095549391307586</v>
      </c>
      <c r="Z53" s="33">
        <f t="shared" si="9"/>
        <v>112.10919930435153</v>
      </c>
    </row>
    <row r="54" spans="1:26" hidden="1" x14ac:dyDescent="0.25">
      <c r="A54" s="84" t="s">
        <v>39</v>
      </c>
      <c r="B54" s="77" t="s">
        <v>199</v>
      </c>
      <c r="C54" s="28">
        <v>1.3060539347216366E-2</v>
      </c>
      <c r="D54" s="28">
        <v>2.5342670549338638E-2</v>
      </c>
      <c r="E54" s="28">
        <v>1.6325674184020457E-2</v>
      </c>
      <c r="F54" s="28">
        <v>3.1678338186673295E-2</v>
      </c>
      <c r="G54" s="28">
        <v>4.6052327221534919E-2</v>
      </c>
      <c r="H54" s="28">
        <v>8.9359935740666363E-2</v>
      </c>
      <c r="I54" s="28">
        <v>8.8288764449473867E-2</v>
      </c>
      <c r="J54" s="28">
        <v>0.17131551853775909</v>
      </c>
      <c r="K54" s="28">
        <v>0.10090144508511299</v>
      </c>
      <c r="L54" s="28">
        <v>0.19578916404315322</v>
      </c>
      <c r="M54" s="131" t="s">
        <v>198</v>
      </c>
      <c r="N54" s="35"/>
      <c r="O54" s="135">
        <v>1000</v>
      </c>
      <c r="P54" s="135">
        <v>1</v>
      </c>
      <c r="Q54" s="33">
        <f t="shared" si="0"/>
        <v>25.342670549338639</v>
      </c>
      <c r="R54" s="33">
        <f t="shared" si="1"/>
        <v>31.678338186673294</v>
      </c>
      <c r="S54" s="33">
        <f t="shared" si="2"/>
        <v>89.359935740666359</v>
      </c>
      <c r="T54" s="33">
        <f t="shared" si="3"/>
        <v>171.31551853775909</v>
      </c>
      <c r="U54" s="33">
        <f t="shared" si="4"/>
        <v>195.78916404315322</v>
      </c>
      <c r="V54" s="33">
        <f t="shared" si="5"/>
        <v>25.342670549338639</v>
      </c>
      <c r="W54" s="33">
        <f t="shared" si="6"/>
        <v>31.678338186673294</v>
      </c>
      <c r="X54" s="33">
        <f t="shared" si="7"/>
        <v>89.359935740666359</v>
      </c>
      <c r="Y54" s="33">
        <f t="shared" si="8"/>
        <v>171.31551853775909</v>
      </c>
      <c r="Z54" s="33">
        <f t="shared" si="9"/>
        <v>195.78916404315322</v>
      </c>
    </row>
    <row r="55" spans="1:26" hidden="1" x14ac:dyDescent="0.25">
      <c r="A55" s="2" t="s">
        <v>40</v>
      </c>
      <c r="B55" s="79"/>
      <c r="C55" s="28"/>
      <c r="D55" s="28"/>
      <c r="E55" s="28"/>
      <c r="F55" s="28"/>
      <c r="G55" s="28"/>
      <c r="H55" s="28"/>
      <c r="I55" s="28"/>
      <c r="J55" s="28"/>
      <c r="K55" s="28"/>
      <c r="L55" s="28"/>
      <c r="M55" s="132"/>
      <c r="N55" s="35"/>
      <c r="O55" s="135">
        <v>1000</v>
      </c>
      <c r="P55" s="135">
        <v>1</v>
      </c>
      <c r="Q55" s="33">
        <f t="shared" si="0"/>
        <v>0</v>
      </c>
      <c r="R55" s="33">
        <f t="shared" si="1"/>
        <v>0</v>
      </c>
      <c r="S55" s="33">
        <f t="shared" si="2"/>
        <v>0</v>
      </c>
      <c r="T55" s="33">
        <f t="shared" si="3"/>
        <v>0</v>
      </c>
      <c r="U55" s="33">
        <f t="shared" si="4"/>
        <v>0</v>
      </c>
      <c r="V55" s="33">
        <f t="shared" si="5"/>
        <v>0</v>
      </c>
      <c r="W55" s="33">
        <f t="shared" si="6"/>
        <v>0</v>
      </c>
      <c r="X55" s="33">
        <f t="shared" si="7"/>
        <v>0</v>
      </c>
      <c r="Y55" s="33">
        <f t="shared" si="8"/>
        <v>0</v>
      </c>
      <c r="Z55" s="33">
        <f t="shared" si="9"/>
        <v>0</v>
      </c>
    </row>
    <row r="56" spans="1:26" hidden="1" x14ac:dyDescent="0.25">
      <c r="A56" s="2" t="s">
        <v>41</v>
      </c>
      <c r="B56" s="79"/>
      <c r="C56" s="29"/>
      <c r="D56" s="29"/>
      <c r="E56" s="29"/>
      <c r="F56" s="29"/>
      <c r="G56" s="29"/>
      <c r="H56" s="29"/>
      <c r="I56" s="29"/>
      <c r="J56" s="29"/>
      <c r="K56" s="29"/>
      <c r="L56" s="29"/>
      <c r="M56" s="132"/>
      <c r="N56" s="35"/>
      <c r="O56" s="135">
        <v>1000</v>
      </c>
      <c r="P56" s="135">
        <v>1</v>
      </c>
      <c r="Q56" s="33">
        <f t="shared" si="0"/>
        <v>0</v>
      </c>
      <c r="R56" s="33">
        <f t="shared" si="1"/>
        <v>0</v>
      </c>
      <c r="S56" s="33">
        <f t="shared" si="2"/>
        <v>0</v>
      </c>
      <c r="T56" s="33">
        <f t="shared" si="3"/>
        <v>0</v>
      </c>
      <c r="U56" s="33">
        <f t="shared" si="4"/>
        <v>0</v>
      </c>
      <c r="V56" s="33">
        <f t="shared" si="5"/>
        <v>0</v>
      </c>
      <c r="W56" s="33">
        <f t="shared" si="6"/>
        <v>0</v>
      </c>
      <c r="X56" s="33">
        <f t="shared" si="7"/>
        <v>0</v>
      </c>
      <c r="Y56" s="33">
        <f t="shared" si="8"/>
        <v>0</v>
      </c>
      <c r="Z56" s="33">
        <f t="shared" si="9"/>
        <v>0</v>
      </c>
    </row>
    <row r="57" spans="1:26" hidden="1" x14ac:dyDescent="0.25">
      <c r="A57" s="31" t="s">
        <v>42</v>
      </c>
      <c r="B57" s="88" t="s">
        <v>203</v>
      </c>
      <c r="C57" s="29">
        <v>4.8500000000000001E-2</v>
      </c>
      <c r="D57" s="29">
        <v>6.1570345833333325E-2</v>
      </c>
      <c r="E57" s="29">
        <v>6.0624999999999991E-2</v>
      </c>
      <c r="F57" s="29">
        <v>7.6962932291666661E-2</v>
      </c>
      <c r="G57" s="29">
        <v>7.2749999999999995E-2</v>
      </c>
      <c r="H57" s="29">
        <v>9.235551874999999E-2</v>
      </c>
      <c r="I57" s="29">
        <v>8.4875000000000006E-2</v>
      </c>
      <c r="J57" s="29">
        <v>0.10774810520833335</v>
      </c>
      <c r="K57" s="29">
        <v>9.7000000000000003E-2</v>
      </c>
      <c r="L57" s="29">
        <v>0.12314069166666665</v>
      </c>
      <c r="M57" s="130" t="s">
        <v>128</v>
      </c>
      <c r="N57" s="35" t="s">
        <v>134</v>
      </c>
      <c r="O57" s="135">
        <v>1000</v>
      </c>
      <c r="P57" s="135">
        <v>1</v>
      </c>
      <c r="Q57" s="33">
        <f t="shared" si="0"/>
        <v>61.570345833333327</v>
      </c>
      <c r="R57" s="33">
        <f t="shared" si="1"/>
        <v>76.962932291666661</v>
      </c>
      <c r="S57" s="33">
        <f t="shared" si="2"/>
        <v>92.355518749999987</v>
      </c>
      <c r="T57" s="33">
        <f t="shared" si="3"/>
        <v>107.74810520833334</v>
      </c>
      <c r="U57" s="33">
        <f t="shared" si="4"/>
        <v>123.14069166666665</v>
      </c>
      <c r="V57" s="33">
        <f t="shared" si="5"/>
        <v>61.570345833333327</v>
      </c>
      <c r="W57" s="33">
        <f t="shared" si="6"/>
        <v>76.962932291666661</v>
      </c>
      <c r="X57" s="33">
        <f t="shared" si="7"/>
        <v>92.355518749999987</v>
      </c>
      <c r="Y57" s="33">
        <f t="shared" si="8"/>
        <v>107.74810520833334</v>
      </c>
      <c r="Z57" s="33">
        <f t="shared" si="9"/>
        <v>123.14069166666665</v>
      </c>
    </row>
    <row r="58" spans="1:26" hidden="1" x14ac:dyDescent="0.25">
      <c r="A58" s="85" t="s">
        <v>42</v>
      </c>
      <c r="B58" s="77" t="s">
        <v>199</v>
      </c>
      <c r="C58" s="28">
        <v>2.0911777452768961E-2</v>
      </c>
      <c r="D58" s="28">
        <v>2.6547327211478084E-2</v>
      </c>
      <c r="E58" s="28">
        <v>5.3836633176261334E-2</v>
      </c>
      <c r="F58" s="28">
        <v>6.8345157178653956E-2</v>
      </c>
      <c r="G58" s="28">
        <v>0.10661669545555842</v>
      </c>
      <c r="H58" s="28">
        <v>0.13534900640836928</v>
      </c>
      <c r="I58" s="28">
        <v>0.12438614469815149</v>
      </c>
      <c r="J58" s="28">
        <v>0.15790717414309749</v>
      </c>
      <c r="K58" s="28">
        <v>0.14215559394074456</v>
      </c>
      <c r="L58" s="28">
        <v>0.1804653418778257</v>
      </c>
      <c r="M58" s="131" t="s">
        <v>198</v>
      </c>
      <c r="N58" s="35"/>
      <c r="O58" s="135">
        <v>1000</v>
      </c>
      <c r="P58" s="135">
        <v>1</v>
      </c>
      <c r="Q58" s="33">
        <f t="shared" si="0"/>
        <v>26.547327211478084</v>
      </c>
      <c r="R58" s="33">
        <f t="shared" si="1"/>
        <v>68.345157178653963</v>
      </c>
      <c r="S58" s="33">
        <f t="shared" si="2"/>
        <v>135.34900640836926</v>
      </c>
      <c r="T58" s="33">
        <f t="shared" si="3"/>
        <v>157.90717414309748</v>
      </c>
      <c r="U58" s="33">
        <f t="shared" si="4"/>
        <v>180.46534187782569</v>
      </c>
      <c r="V58" s="33">
        <f t="shared" si="5"/>
        <v>26.547327211478084</v>
      </c>
      <c r="W58" s="33">
        <f t="shared" si="6"/>
        <v>68.345157178653963</v>
      </c>
      <c r="X58" s="33">
        <f t="shared" si="7"/>
        <v>135.34900640836926</v>
      </c>
      <c r="Y58" s="33">
        <f t="shared" si="8"/>
        <v>157.90717414309748</v>
      </c>
      <c r="Z58" s="33">
        <f t="shared" si="9"/>
        <v>180.46534187782569</v>
      </c>
    </row>
    <row r="59" spans="1:26" hidden="1" x14ac:dyDescent="0.25">
      <c r="A59" s="30" t="s">
        <v>43</v>
      </c>
      <c r="B59" s="80" t="s">
        <v>228</v>
      </c>
      <c r="C59" s="28"/>
      <c r="D59" s="28">
        <v>0</v>
      </c>
      <c r="E59" s="28"/>
      <c r="F59" s="28">
        <v>5.7257669413919412E-3</v>
      </c>
      <c r="G59" s="28"/>
      <c r="H59" s="28">
        <v>1.6673433333333335E-2</v>
      </c>
      <c r="I59" s="28"/>
      <c r="J59" s="28">
        <v>3.6539242599000384E-2</v>
      </c>
      <c r="K59" s="28"/>
      <c r="L59" s="28">
        <v>7.085028328611899E-2</v>
      </c>
      <c r="M59" s="131"/>
      <c r="N59" s="35"/>
      <c r="O59" s="135">
        <v>1000</v>
      </c>
      <c r="P59" s="135">
        <v>1</v>
      </c>
      <c r="Q59" s="33">
        <f t="shared" si="0"/>
        <v>0</v>
      </c>
      <c r="R59" s="33">
        <f t="shared" si="1"/>
        <v>5.7257669413919414</v>
      </c>
      <c r="S59" s="33">
        <f t="shared" si="2"/>
        <v>16.673433333333335</v>
      </c>
      <c r="T59" s="33">
        <f t="shared" si="3"/>
        <v>36.539242599000382</v>
      </c>
      <c r="U59" s="33">
        <f t="shared" si="4"/>
        <v>70.850283286118994</v>
      </c>
      <c r="V59" s="33">
        <f t="shared" si="5"/>
        <v>0</v>
      </c>
      <c r="W59" s="33">
        <f t="shared" si="6"/>
        <v>5.7257669413919414</v>
      </c>
      <c r="X59" s="33">
        <f t="shared" si="7"/>
        <v>16.673433333333335</v>
      </c>
      <c r="Y59" s="33">
        <f t="shared" si="8"/>
        <v>36.539242599000382</v>
      </c>
      <c r="Z59" s="33">
        <f t="shared" si="9"/>
        <v>70.850283286118994</v>
      </c>
    </row>
    <row r="60" spans="1:26" hidden="1" x14ac:dyDescent="0.25">
      <c r="A60" s="31" t="s">
        <v>43</v>
      </c>
      <c r="B60" s="88" t="s">
        <v>203</v>
      </c>
      <c r="C60" s="29">
        <v>3.8799999999999994E-2</v>
      </c>
      <c r="D60" s="29">
        <v>6.4692921333333334E-2</v>
      </c>
      <c r="E60" s="29">
        <v>4.8500000000000001E-2</v>
      </c>
      <c r="F60" s="29">
        <v>8.086615166666665E-2</v>
      </c>
      <c r="G60" s="29">
        <v>5.8199999999999995E-2</v>
      </c>
      <c r="H60" s="29">
        <v>9.7039382000000007E-2</v>
      </c>
      <c r="I60" s="29">
        <v>6.7899999999999988E-2</v>
      </c>
      <c r="J60" s="29">
        <v>0.11321261233333332</v>
      </c>
      <c r="K60" s="29">
        <v>0.12938584266666667</v>
      </c>
      <c r="L60" s="29">
        <v>7.7599999999999988E-2</v>
      </c>
      <c r="M60" s="130" t="s">
        <v>128</v>
      </c>
      <c r="N60" s="35" t="s">
        <v>129</v>
      </c>
      <c r="O60" s="135">
        <v>1000</v>
      </c>
      <c r="P60" s="135">
        <v>1</v>
      </c>
      <c r="Q60" s="33">
        <f t="shared" si="0"/>
        <v>64.692921333333331</v>
      </c>
      <c r="R60" s="33">
        <f t="shared" si="1"/>
        <v>80.866151666666653</v>
      </c>
      <c r="S60" s="33">
        <f t="shared" si="2"/>
        <v>97.039382000000003</v>
      </c>
      <c r="T60" s="33">
        <f t="shared" si="3"/>
        <v>113.21261233333333</v>
      </c>
      <c r="U60" s="33">
        <f t="shared" si="4"/>
        <v>77.599999999999994</v>
      </c>
      <c r="V60" s="33">
        <f t="shared" si="5"/>
        <v>64.692921333333331</v>
      </c>
      <c r="W60" s="33">
        <f t="shared" si="6"/>
        <v>80.866151666666653</v>
      </c>
      <c r="X60" s="33">
        <f t="shared" si="7"/>
        <v>97.039382000000003</v>
      </c>
      <c r="Y60" s="33">
        <f t="shared" si="8"/>
        <v>113.21261233333333</v>
      </c>
      <c r="Z60" s="33">
        <f t="shared" si="9"/>
        <v>77.599999999999994</v>
      </c>
    </row>
    <row r="61" spans="1:26" hidden="1" x14ac:dyDescent="0.25">
      <c r="A61" s="85" t="s">
        <v>43</v>
      </c>
      <c r="B61" s="77" t="s">
        <v>199</v>
      </c>
      <c r="C61" s="28">
        <v>1.8469139953884307E-2</v>
      </c>
      <c r="D61" s="28">
        <v>3.079439737450931E-2</v>
      </c>
      <c r="E61" s="28">
        <v>2.3086424942355382E-2</v>
      </c>
      <c r="F61" s="28">
        <v>3.8492996718136628E-2</v>
      </c>
      <c r="G61" s="28">
        <v>4.9293523056054722E-2</v>
      </c>
      <c r="H61" s="28">
        <v>8.21892270440258E-2</v>
      </c>
      <c r="I61" s="28">
        <v>4.4133364500346293E-2</v>
      </c>
      <c r="J61" s="28">
        <v>7.3585471077222395E-2</v>
      </c>
      <c r="K61" s="28">
        <v>9.4288643108610765E-2</v>
      </c>
      <c r="L61" s="28">
        <v>0.15721154049618813</v>
      </c>
      <c r="M61" s="131" t="s">
        <v>198</v>
      </c>
      <c r="N61" s="35"/>
      <c r="O61" s="135">
        <v>1000</v>
      </c>
      <c r="P61" s="135">
        <v>1</v>
      </c>
      <c r="Q61" s="33">
        <f t="shared" si="0"/>
        <v>30.794397374509309</v>
      </c>
      <c r="R61" s="33">
        <f t="shared" si="1"/>
        <v>38.492996718136631</v>
      </c>
      <c r="S61" s="33">
        <f t="shared" si="2"/>
        <v>82.189227044025799</v>
      </c>
      <c r="T61" s="33">
        <f t="shared" si="3"/>
        <v>73.585471077222394</v>
      </c>
      <c r="U61" s="33">
        <f t="shared" si="4"/>
        <v>157.21154049618812</v>
      </c>
      <c r="V61" s="33">
        <f t="shared" si="5"/>
        <v>30.794397374509309</v>
      </c>
      <c r="W61" s="33">
        <f t="shared" si="6"/>
        <v>38.492996718136631</v>
      </c>
      <c r="X61" s="33">
        <f t="shared" si="7"/>
        <v>82.189227044025799</v>
      </c>
      <c r="Y61" s="33">
        <f t="shared" si="8"/>
        <v>73.585471077222394</v>
      </c>
      <c r="Z61" s="33">
        <f t="shared" si="9"/>
        <v>157.21154049618812</v>
      </c>
    </row>
    <row r="62" spans="1:26" hidden="1" x14ac:dyDescent="0.25">
      <c r="A62" s="127" t="s">
        <v>43</v>
      </c>
      <c r="B62" s="126"/>
      <c r="C62" s="28"/>
      <c r="D62" s="28">
        <v>2.0321507946666668E-2</v>
      </c>
      <c r="E62" s="28"/>
      <c r="F62" s="28">
        <v>2.666379298E-2</v>
      </c>
      <c r="G62" s="28"/>
      <c r="H62" s="28">
        <v>4.0266540526666651E-2</v>
      </c>
      <c r="I62" s="28"/>
      <c r="J62" s="28">
        <v>6.1635670506666677E-2</v>
      </c>
      <c r="K62" s="28"/>
      <c r="L62" s="28">
        <v>9.3176129566666682E-2</v>
      </c>
      <c r="M62" s="133" t="s">
        <v>85</v>
      </c>
      <c r="N62" s="35"/>
      <c r="O62" s="135">
        <v>1000</v>
      </c>
      <c r="P62" s="135">
        <v>1</v>
      </c>
      <c r="Q62" s="33">
        <f t="shared" si="0"/>
        <v>20.321507946666667</v>
      </c>
      <c r="R62" s="33">
        <f t="shared" si="1"/>
        <v>26.66379298</v>
      </c>
      <c r="S62" s="33">
        <f t="shared" si="2"/>
        <v>40.266540526666653</v>
      </c>
      <c r="T62" s="33">
        <f t="shared" si="3"/>
        <v>61.635670506666678</v>
      </c>
      <c r="U62" s="33">
        <f t="shared" si="4"/>
        <v>93.176129566666688</v>
      </c>
      <c r="V62" s="33">
        <f t="shared" si="5"/>
        <v>20.321507946666667</v>
      </c>
      <c r="W62" s="33">
        <f t="shared" si="6"/>
        <v>26.66379298</v>
      </c>
      <c r="X62" s="33">
        <f t="shared" si="7"/>
        <v>40.266540526666653</v>
      </c>
      <c r="Y62" s="33">
        <f t="shared" si="8"/>
        <v>61.635670506666678</v>
      </c>
      <c r="Z62" s="33">
        <f t="shared" si="9"/>
        <v>93.176129566666688</v>
      </c>
    </row>
    <row r="63" spans="1:26" hidden="1" x14ac:dyDescent="0.25">
      <c r="A63" s="171" t="s">
        <v>44</v>
      </c>
      <c r="B63" s="80" t="s">
        <v>94</v>
      </c>
      <c r="C63" s="29">
        <f>'Alt_diám tablas producc'!E54</f>
        <v>3.4157697129970299E-2</v>
      </c>
      <c r="D63" s="29">
        <f>'Total especies y métodos'!D62</f>
        <v>3.4157697129970299E-2</v>
      </c>
      <c r="E63" s="29">
        <f>'Total especies y métodos'!E62</f>
        <v>6.6000000000000003E-2</v>
      </c>
      <c r="F63" s="29">
        <f>'Total especies y métodos'!F62</f>
        <v>4.2697121412462874E-2</v>
      </c>
      <c r="G63" s="29">
        <f>'Total especies y métodos'!G62</f>
        <v>7.8790697674418611E-2</v>
      </c>
      <c r="H63" s="29">
        <f>'Total especies y métodos'!H62</f>
        <v>5.1236545694955449E-2</v>
      </c>
      <c r="I63" s="29">
        <f>'Total especies y métodos'!I62</f>
        <v>0.106</v>
      </c>
      <c r="J63" s="29">
        <f>'Total especies y métodos'!J62</f>
        <v>0.10884537979242993</v>
      </c>
      <c r="K63" s="29">
        <f>'Total especies y métodos'!K62</f>
        <v>0.18160469667318982</v>
      </c>
      <c r="L63" s="29">
        <f>'Total especies y métodos'!L62</f>
        <v>0.12636076078387784</v>
      </c>
      <c r="M63" s="24" t="s">
        <v>81</v>
      </c>
      <c r="N63" s="35" t="s">
        <v>119</v>
      </c>
      <c r="O63" s="135">
        <v>1000</v>
      </c>
      <c r="P63" s="135">
        <v>1</v>
      </c>
      <c r="Q63" s="33">
        <f t="shared" si="0"/>
        <v>34.157697129970302</v>
      </c>
      <c r="R63" s="33">
        <f t="shared" si="1"/>
        <v>42.697121412462877</v>
      </c>
      <c r="S63" s="33">
        <f t="shared" si="2"/>
        <v>51.236545694955446</v>
      </c>
      <c r="T63" s="33">
        <f t="shared" si="3"/>
        <v>108.84537979242994</v>
      </c>
      <c r="U63" s="33">
        <f t="shared" si="4"/>
        <v>126.36076078387784</v>
      </c>
      <c r="V63" s="33">
        <f t="shared" si="5"/>
        <v>34.157697129970302</v>
      </c>
      <c r="W63" s="33">
        <f t="shared" si="6"/>
        <v>42.697121412462877</v>
      </c>
      <c r="X63" s="33">
        <f t="shared" si="7"/>
        <v>51.236545694955446</v>
      </c>
      <c r="Y63" s="33">
        <f t="shared" si="8"/>
        <v>108.84537979242994</v>
      </c>
      <c r="Z63" s="33">
        <f t="shared" si="9"/>
        <v>126.36076078387784</v>
      </c>
    </row>
    <row r="64" spans="1:26" hidden="1" x14ac:dyDescent="0.25">
      <c r="A64" s="31" t="s">
        <v>44</v>
      </c>
      <c r="B64" s="88" t="s">
        <v>203</v>
      </c>
      <c r="C64" s="28">
        <v>4.3999999999999997E-2</v>
      </c>
      <c r="D64" s="28">
        <v>6.4017066666666664E-2</v>
      </c>
      <c r="E64" s="28">
        <v>5.5000000000000007E-2</v>
      </c>
      <c r="F64" s="28">
        <v>8.0021333333333347E-2</v>
      </c>
      <c r="G64" s="28">
        <v>6.6000000000000003E-2</v>
      </c>
      <c r="H64" s="28">
        <v>9.6025599999999989E-2</v>
      </c>
      <c r="I64" s="28">
        <v>7.6999999999999999E-2</v>
      </c>
      <c r="J64" s="28">
        <v>0.11202986666666667</v>
      </c>
      <c r="K64" s="29">
        <v>8.7999999999999995E-2</v>
      </c>
      <c r="L64" s="28">
        <v>0.12803413333333333</v>
      </c>
      <c r="M64" s="130" t="s">
        <v>128</v>
      </c>
      <c r="N64" s="35" t="s">
        <v>129</v>
      </c>
      <c r="O64" s="135">
        <v>1000</v>
      </c>
      <c r="P64" s="135">
        <v>1</v>
      </c>
      <c r="Q64" s="33">
        <f t="shared" si="0"/>
        <v>64.017066666666665</v>
      </c>
      <c r="R64" s="33">
        <f t="shared" si="1"/>
        <v>80.021333333333345</v>
      </c>
      <c r="S64" s="33">
        <f t="shared" si="2"/>
        <v>96.025599999999983</v>
      </c>
      <c r="T64" s="33">
        <f t="shared" si="3"/>
        <v>112.02986666666668</v>
      </c>
      <c r="U64" s="33">
        <f t="shared" si="4"/>
        <v>128.03413333333333</v>
      </c>
      <c r="V64" s="33">
        <f t="shared" si="5"/>
        <v>64.017066666666665</v>
      </c>
      <c r="W64" s="33">
        <f t="shared" si="6"/>
        <v>80.021333333333345</v>
      </c>
      <c r="X64" s="33">
        <f t="shared" si="7"/>
        <v>96.025599999999983</v>
      </c>
      <c r="Y64" s="33">
        <f t="shared" si="8"/>
        <v>112.02986666666668</v>
      </c>
      <c r="Z64" s="33">
        <f t="shared" si="9"/>
        <v>128.03413333333333</v>
      </c>
    </row>
    <row r="65" spans="1:26" hidden="1" x14ac:dyDescent="0.25">
      <c r="A65" s="85" t="s">
        <v>44</v>
      </c>
      <c r="B65" s="77" t="s">
        <v>199</v>
      </c>
      <c r="C65" s="28">
        <v>1.7920503247184628E-2</v>
      </c>
      <c r="D65" s="28">
        <v>2.6073137524437157E-2</v>
      </c>
      <c r="E65" s="28">
        <v>2.2400629058980784E-2</v>
      </c>
      <c r="F65" s="28">
        <v>3.2591421905546439E-2</v>
      </c>
      <c r="G65" s="28">
        <v>5.4433981189938044E-2</v>
      </c>
      <c r="H65" s="28">
        <v>7.9197813699280514E-2</v>
      </c>
      <c r="I65" s="28">
        <v>6.3506311388261058E-2</v>
      </c>
      <c r="J65" s="28">
        <v>9.2397449315827287E-2</v>
      </c>
      <c r="K65" s="28">
        <v>7.2578641586584058E-2</v>
      </c>
      <c r="L65" s="28">
        <v>0.10559708493237403</v>
      </c>
      <c r="M65" s="131" t="s">
        <v>198</v>
      </c>
      <c r="N65" s="35"/>
      <c r="O65" s="135">
        <v>1000</v>
      </c>
      <c r="P65" s="135">
        <v>1</v>
      </c>
      <c r="Q65" s="33">
        <f t="shared" si="0"/>
        <v>26.073137524437158</v>
      </c>
      <c r="R65" s="33">
        <f t="shared" si="1"/>
        <v>32.59142190554644</v>
      </c>
      <c r="S65" s="33">
        <f t="shared" si="2"/>
        <v>79.197813699280516</v>
      </c>
      <c r="T65" s="33">
        <f t="shared" si="3"/>
        <v>92.397449315827288</v>
      </c>
      <c r="U65" s="33">
        <f t="shared" si="4"/>
        <v>105.59708493237403</v>
      </c>
      <c r="V65" s="33">
        <f t="shared" si="5"/>
        <v>26.073137524437158</v>
      </c>
      <c r="W65" s="33">
        <f t="shared" si="6"/>
        <v>32.59142190554644</v>
      </c>
      <c r="X65" s="33">
        <f t="shared" si="7"/>
        <v>79.197813699280516</v>
      </c>
      <c r="Y65" s="33">
        <f t="shared" si="8"/>
        <v>92.397449315827288</v>
      </c>
      <c r="Z65" s="33">
        <f t="shared" si="9"/>
        <v>105.59708493237403</v>
      </c>
    </row>
    <row r="66" spans="1:26" hidden="1" x14ac:dyDescent="0.25">
      <c r="A66" s="127" t="s">
        <v>44</v>
      </c>
      <c r="B66" s="126"/>
      <c r="C66" s="28"/>
      <c r="D66" s="28">
        <v>0.18382044761299327</v>
      </c>
      <c r="E66" s="28"/>
      <c r="F66" s="28">
        <v>0.34826063882451141</v>
      </c>
      <c r="G66" s="28"/>
      <c r="H66" s="28">
        <v>0.57646899987068079</v>
      </c>
      <c r="I66" s="28"/>
      <c r="J66" s="28">
        <v>0.87455170971595497</v>
      </c>
      <c r="K66" s="28"/>
      <c r="L66" s="28">
        <v>1.2168313571830238</v>
      </c>
      <c r="M66" s="133" t="s">
        <v>85</v>
      </c>
      <c r="N66" s="35"/>
      <c r="O66" s="135">
        <v>1000</v>
      </c>
      <c r="P66" s="135">
        <v>1</v>
      </c>
      <c r="Q66" s="33">
        <f t="shared" si="0"/>
        <v>183.82044761299326</v>
      </c>
      <c r="R66" s="33">
        <f t="shared" si="1"/>
        <v>348.26063882451143</v>
      </c>
      <c r="S66" s="33">
        <f t="shared" si="2"/>
        <v>576.46899987068082</v>
      </c>
      <c r="T66" s="33">
        <f t="shared" si="3"/>
        <v>874.55170971595498</v>
      </c>
      <c r="U66" s="33">
        <f t="shared" si="4"/>
        <v>1216.8313571830238</v>
      </c>
      <c r="V66" s="33">
        <f t="shared" si="5"/>
        <v>183.82044761299326</v>
      </c>
      <c r="W66" s="33">
        <f t="shared" si="6"/>
        <v>348.26063882451143</v>
      </c>
      <c r="X66" s="33">
        <f t="shared" si="7"/>
        <v>576.46899987068082</v>
      </c>
      <c r="Y66" s="33">
        <f t="shared" si="8"/>
        <v>874.55170971595498</v>
      </c>
      <c r="Z66" s="33">
        <f t="shared" si="9"/>
        <v>1216.8313571830238</v>
      </c>
    </row>
    <row r="67" spans="1:26" x14ac:dyDescent="0.25">
      <c r="A67" s="792" t="s">
        <v>136</v>
      </c>
      <c r="B67" s="80" t="s">
        <v>138</v>
      </c>
      <c r="C67" s="29">
        <v>0.23955555555555555</v>
      </c>
      <c r="D67" s="29">
        <f>'Total especies y métodos'!D66</f>
        <v>0.2327115308614556</v>
      </c>
      <c r="E67" s="29">
        <f>'Total especies y métodos'!E66</f>
        <v>0.42199999999999999</v>
      </c>
      <c r="F67" s="29">
        <f>'Total especies y métodos'!F66</f>
        <v>0.40856203182870365</v>
      </c>
      <c r="G67" s="29">
        <f>'Total especies y métodos'!G66</f>
        <v>0.78600000000000003</v>
      </c>
      <c r="H67" s="29">
        <f>'Total especies y métodos'!H66</f>
        <v>0.58249493630952376</v>
      </c>
      <c r="I67" s="29">
        <f>'Total especies y métodos'!I66</f>
        <v>0.86799999999999999</v>
      </c>
      <c r="J67" s="29">
        <f>'Total especies y métodos'!J66</f>
        <v>0.74304199720492636</v>
      </c>
      <c r="K67" s="29">
        <f>'Total especies y métodos'!K66</f>
        <v>1.3740000000000001</v>
      </c>
      <c r="L67" s="29">
        <f>'Total especies y métodos'!L66</f>
        <v>0.91206257563956428</v>
      </c>
      <c r="M67" s="24" t="s">
        <v>81</v>
      </c>
      <c r="N67" s="35" t="s">
        <v>123</v>
      </c>
      <c r="O67" s="135">
        <v>1000</v>
      </c>
      <c r="P67" s="135">
        <v>1</v>
      </c>
      <c r="Q67" s="33">
        <f t="shared" si="0"/>
        <v>232.7115308614556</v>
      </c>
      <c r="R67" s="33">
        <f t="shared" si="1"/>
        <v>408.56203182870365</v>
      </c>
      <c r="S67" s="33">
        <f t="shared" si="2"/>
        <v>582.49493630952372</v>
      </c>
      <c r="T67" s="33">
        <f t="shared" si="3"/>
        <v>743.04199720492636</v>
      </c>
      <c r="U67" s="33">
        <f t="shared" si="4"/>
        <v>912.06257563956433</v>
      </c>
      <c r="V67" s="33">
        <f t="shared" si="5"/>
        <v>232.7115308614556</v>
      </c>
      <c r="W67" s="33">
        <f t="shared" si="6"/>
        <v>408.56203182870365</v>
      </c>
      <c r="X67" s="33">
        <f t="shared" si="7"/>
        <v>582.49493630952372</v>
      </c>
      <c r="Y67" s="33">
        <f t="shared" si="8"/>
        <v>743.04199720492636</v>
      </c>
      <c r="Z67" s="33">
        <f t="shared" si="9"/>
        <v>912.06257563956433</v>
      </c>
    </row>
    <row r="68" spans="1:26" hidden="1" x14ac:dyDescent="0.25">
      <c r="A68" s="793"/>
      <c r="B68" s="80" t="s">
        <v>139</v>
      </c>
      <c r="C68" s="29">
        <v>0.35216666666666668</v>
      </c>
      <c r="D68" s="29">
        <f>'Total especies y métodos'!D67</f>
        <v>0.32827964901620366</v>
      </c>
      <c r="E68" s="29">
        <f>'Total especies y métodos'!E67</f>
        <v>1.4219999999999999</v>
      </c>
      <c r="F68" s="29">
        <f>'Total especies y métodos'!F67</f>
        <v>0.53815745067959075</v>
      </c>
      <c r="G68" s="29">
        <f>'Total especies y métodos'!G67</f>
        <v>1.786</v>
      </c>
      <c r="H68" s="29">
        <f>'Total especies y métodos'!H67</f>
        <v>0.69121584652967782</v>
      </c>
      <c r="I68" s="29">
        <f>'Total especies y métodos'!I67</f>
        <v>1.8680000000000001</v>
      </c>
      <c r="J68" s="29">
        <f>'Total especies y métodos'!J67</f>
        <v>0.80641848761795754</v>
      </c>
      <c r="K68" s="29">
        <f>'Total especies y métodos'!K67</f>
        <v>2.3740000000000001</v>
      </c>
      <c r="L68" s="29">
        <f>'Total especies y métodos'!L67</f>
        <v>0.92162112870623725</v>
      </c>
      <c r="M68" s="24" t="s">
        <v>81</v>
      </c>
      <c r="N68" s="35" t="s">
        <v>124</v>
      </c>
      <c r="O68" s="135">
        <v>1000</v>
      </c>
      <c r="P68" s="135">
        <v>1</v>
      </c>
      <c r="Q68" s="33">
        <f t="shared" ref="Q68:Q124" si="10">D68*O68</f>
        <v>328.27964901620368</v>
      </c>
      <c r="R68" s="33">
        <f t="shared" ref="R68:R124" si="11">F68*O68</f>
        <v>538.15745067959074</v>
      </c>
      <c r="S68" s="33">
        <f t="shared" ref="S68:S124" si="12">H68*O68</f>
        <v>691.21584652967783</v>
      </c>
      <c r="T68" s="33">
        <f t="shared" ref="T68:T124" si="13">J68*O68</f>
        <v>806.41848761795757</v>
      </c>
      <c r="U68" s="33">
        <f t="shared" ref="U68:U124" si="14">L68*O68</f>
        <v>921.6211287062373</v>
      </c>
      <c r="V68" s="33">
        <f t="shared" ref="V68:V124" si="15">Q68/P68</f>
        <v>328.27964901620368</v>
      </c>
      <c r="W68" s="33">
        <f t="shared" ref="W68:W124" si="16">R68/P68</f>
        <v>538.15745067959074</v>
      </c>
      <c r="X68" s="33">
        <f t="shared" ref="X68:X124" si="17">S68/P68</f>
        <v>691.21584652967783</v>
      </c>
      <c r="Y68" s="33">
        <f t="shared" ref="Y68:Y124" si="18">T68/P68</f>
        <v>806.41848761795757</v>
      </c>
      <c r="Z68" s="33">
        <f t="shared" ref="Z68:Z124" si="19">U68/P68</f>
        <v>921.6211287062373</v>
      </c>
    </row>
    <row r="69" spans="1:26" s="4" customFormat="1" x14ac:dyDescent="0.25">
      <c r="A69" s="32" t="s">
        <v>45</v>
      </c>
      <c r="B69" s="88" t="s">
        <v>203</v>
      </c>
      <c r="C69" s="28">
        <v>0.109</v>
      </c>
      <c r="D69" s="28">
        <v>0.14123220833333333</v>
      </c>
      <c r="E69" s="28">
        <v>0.221</v>
      </c>
      <c r="F69" s="28">
        <v>0.28635154166666665</v>
      </c>
      <c r="G69" s="28">
        <v>0.379</v>
      </c>
      <c r="H69" s="28">
        <v>0.49107345833333343</v>
      </c>
      <c r="I69" s="28">
        <v>0.56899999999999995</v>
      </c>
      <c r="J69" s="28">
        <v>0.73725804166666664</v>
      </c>
      <c r="K69" s="29">
        <v>0.79900000000000004</v>
      </c>
      <c r="L69" s="28">
        <v>1.0352709583333333</v>
      </c>
      <c r="M69" s="130" t="s">
        <v>128</v>
      </c>
      <c r="N69" s="35"/>
      <c r="O69" s="135">
        <v>1000</v>
      </c>
      <c r="P69" s="135">
        <v>1</v>
      </c>
      <c r="Q69" s="33">
        <f t="shared" si="10"/>
        <v>141.23220833333332</v>
      </c>
      <c r="R69" s="33">
        <f t="shared" si="11"/>
        <v>286.35154166666666</v>
      </c>
      <c r="S69" s="33">
        <f t="shared" si="12"/>
        <v>491.07345833333346</v>
      </c>
      <c r="T69" s="33">
        <f t="shared" si="13"/>
        <v>737.2580416666666</v>
      </c>
      <c r="U69" s="33">
        <f t="shared" si="14"/>
        <v>1035.2709583333333</v>
      </c>
      <c r="V69" s="33">
        <f t="shared" si="15"/>
        <v>141.23220833333332</v>
      </c>
      <c r="W69" s="33">
        <f t="shared" si="16"/>
        <v>286.35154166666666</v>
      </c>
      <c r="X69" s="33">
        <f t="shared" si="17"/>
        <v>491.07345833333346</v>
      </c>
      <c r="Y69" s="33">
        <f t="shared" si="18"/>
        <v>737.2580416666666</v>
      </c>
      <c r="Z69" s="33">
        <f t="shared" si="19"/>
        <v>1035.2709583333333</v>
      </c>
    </row>
    <row r="70" spans="1:26" hidden="1" x14ac:dyDescent="0.25">
      <c r="A70" s="30" t="s">
        <v>289</v>
      </c>
      <c r="B70" s="80" t="s">
        <v>140</v>
      </c>
      <c r="C70" s="134">
        <v>4.0599999999999997E-2</v>
      </c>
      <c r="D70" s="134">
        <f>'Total especies y métodos'!D69</f>
        <v>0.11982849020241199</v>
      </c>
      <c r="E70" s="134">
        <f>'Total especies y métodos'!E69</f>
        <v>0.124475</v>
      </c>
      <c r="F70" s="134">
        <f>'Total especies y métodos'!F69</f>
        <v>0.14978561275301497</v>
      </c>
      <c r="G70" s="134">
        <f>'Total especies y métodos'!G69</f>
        <v>0.1981859410430839</v>
      </c>
      <c r="H70" s="134">
        <f>'Total especies y métodos'!H69</f>
        <v>0.17974273530361798</v>
      </c>
      <c r="I70" s="134">
        <f>'Total especies y métodos'!I69</f>
        <v>0.340225</v>
      </c>
      <c r="J70" s="134">
        <f>'Total especies y métodos'!J69</f>
        <v>0.26196202857543643</v>
      </c>
      <c r="K70" s="134">
        <f>'Total especies y métodos'!K69</f>
        <v>0.39999999999999997</v>
      </c>
      <c r="L70" s="134">
        <f>'Total especies y métodos'!L69</f>
        <v>0.35801687535521448</v>
      </c>
      <c r="M70" s="24" t="s">
        <v>81</v>
      </c>
      <c r="N70" s="35" t="s">
        <v>125</v>
      </c>
      <c r="O70" s="135">
        <v>1000</v>
      </c>
      <c r="P70" s="135">
        <v>1</v>
      </c>
      <c r="Q70" s="33">
        <f t="shared" si="10"/>
        <v>119.82849020241198</v>
      </c>
      <c r="R70" s="33">
        <f t="shared" si="11"/>
        <v>149.78561275301496</v>
      </c>
      <c r="S70" s="33">
        <f t="shared" si="12"/>
        <v>179.74273530361799</v>
      </c>
      <c r="T70" s="33">
        <f t="shared" si="13"/>
        <v>261.96202857543642</v>
      </c>
      <c r="U70" s="33">
        <f t="shared" si="14"/>
        <v>358.01687535521449</v>
      </c>
      <c r="V70" s="33">
        <f t="shared" si="15"/>
        <v>119.82849020241198</v>
      </c>
      <c r="W70" s="33">
        <f t="shared" si="16"/>
        <v>149.78561275301496</v>
      </c>
      <c r="X70" s="33">
        <f t="shared" si="17"/>
        <v>179.74273530361799</v>
      </c>
      <c r="Y70" s="33">
        <f t="shared" si="18"/>
        <v>261.96202857543642</v>
      </c>
      <c r="Z70" s="33">
        <f t="shared" si="19"/>
        <v>358.01687535521449</v>
      </c>
    </row>
    <row r="71" spans="1:26" s="4" customFormat="1" hidden="1" x14ac:dyDescent="0.25">
      <c r="A71" s="31" t="s">
        <v>135</v>
      </c>
      <c r="B71" s="81"/>
      <c r="C71" s="28">
        <v>6.0666666666666667E-2</v>
      </c>
      <c r="D71" s="28">
        <v>7.8606305555555561E-2</v>
      </c>
      <c r="E71" s="28">
        <v>7.5833333333333322E-2</v>
      </c>
      <c r="F71" s="28">
        <v>9.8257881944444431E-2</v>
      </c>
      <c r="G71" s="28">
        <v>9.0999999999999998E-2</v>
      </c>
      <c r="H71" s="28">
        <v>0.11790945833333333</v>
      </c>
      <c r="I71" s="28">
        <v>0.15225</v>
      </c>
      <c r="J71" s="28">
        <v>0.19727159375</v>
      </c>
      <c r="K71" s="29">
        <v>0.17399999999999999</v>
      </c>
      <c r="L71" s="28">
        <v>0.22545325000000002</v>
      </c>
      <c r="M71" s="130" t="s">
        <v>128</v>
      </c>
      <c r="N71" s="35" t="s">
        <v>125</v>
      </c>
      <c r="O71" s="135">
        <v>1000</v>
      </c>
      <c r="P71" s="135">
        <v>1</v>
      </c>
      <c r="Q71" s="33">
        <f t="shared" si="10"/>
        <v>78.606305555555565</v>
      </c>
      <c r="R71" s="33">
        <f t="shared" si="11"/>
        <v>98.257881944444435</v>
      </c>
      <c r="S71" s="33">
        <f t="shared" si="12"/>
        <v>117.90945833333333</v>
      </c>
      <c r="T71" s="33">
        <f t="shared" si="13"/>
        <v>197.27159374999999</v>
      </c>
      <c r="U71" s="33">
        <f t="shared" si="14"/>
        <v>225.45325000000003</v>
      </c>
      <c r="V71" s="33">
        <f t="shared" si="15"/>
        <v>78.606305555555565</v>
      </c>
      <c r="W71" s="33">
        <f t="shared" si="16"/>
        <v>98.257881944444435</v>
      </c>
      <c r="X71" s="33">
        <f t="shared" si="17"/>
        <v>117.90945833333333</v>
      </c>
      <c r="Y71" s="33">
        <f t="shared" si="18"/>
        <v>197.27159374999999</v>
      </c>
      <c r="Z71" s="33">
        <f t="shared" si="19"/>
        <v>225.45325000000003</v>
      </c>
    </row>
    <row r="72" spans="1:26" x14ac:dyDescent="0.25">
      <c r="A72" s="85" t="s">
        <v>200</v>
      </c>
      <c r="B72" s="77" t="s">
        <v>199</v>
      </c>
      <c r="C72" s="28">
        <v>1.7414482645901213E-2</v>
      </c>
      <c r="D72" s="28">
        <v>2.2564090284982921E-2</v>
      </c>
      <c r="E72" s="28">
        <v>2.1768103307376517E-2</v>
      </c>
      <c r="F72" s="28">
        <v>2.8205112856228648E-2</v>
      </c>
      <c r="G72" s="28">
        <v>2.6121723968851821E-2</v>
      </c>
      <c r="H72" s="28">
        <v>3.3846135427474382E-2</v>
      </c>
      <c r="I72" s="28">
        <v>6.1389279326479446E-2</v>
      </c>
      <c r="J72" s="28">
        <v>7.9542600800647137E-2</v>
      </c>
      <c r="K72" s="28">
        <v>7.0159176373119372E-2</v>
      </c>
      <c r="L72" s="28">
        <v>9.0905829486453871E-2</v>
      </c>
      <c r="M72" s="131" t="s">
        <v>198</v>
      </c>
      <c r="N72" s="35"/>
      <c r="O72" s="135">
        <v>1000</v>
      </c>
      <c r="P72" s="135">
        <v>1</v>
      </c>
      <c r="Q72" s="33">
        <f t="shared" si="10"/>
        <v>22.564090284982921</v>
      </c>
      <c r="R72" s="33">
        <f t="shared" si="11"/>
        <v>28.205112856228649</v>
      </c>
      <c r="S72" s="33">
        <f t="shared" si="12"/>
        <v>33.84613542747438</v>
      </c>
      <c r="T72" s="33">
        <f t="shared" si="13"/>
        <v>79.542600800647136</v>
      </c>
      <c r="U72" s="33">
        <f t="shared" si="14"/>
        <v>90.905829486453868</v>
      </c>
      <c r="V72" s="33">
        <f t="shared" si="15"/>
        <v>22.564090284982921</v>
      </c>
      <c r="W72" s="33">
        <f t="shared" si="16"/>
        <v>28.205112856228649</v>
      </c>
      <c r="X72" s="33">
        <f t="shared" si="17"/>
        <v>33.84613542747438</v>
      </c>
      <c r="Y72" s="33">
        <f t="shared" si="18"/>
        <v>79.542600800647136</v>
      </c>
      <c r="Z72" s="33">
        <f t="shared" si="19"/>
        <v>90.905829486453868</v>
      </c>
    </row>
    <row r="73" spans="1:26" x14ac:dyDescent="0.25">
      <c r="A73" s="127" t="s">
        <v>200</v>
      </c>
      <c r="B73" s="126"/>
      <c r="C73" s="28"/>
      <c r="D73" s="28">
        <v>7.332910309194092E-2</v>
      </c>
      <c r="E73" s="28"/>
      <c r="F73" s="28">
        <v>0.13408913811397005</v>
      </c>
      <c r="G73" s="28"/>
      <c r="H73" s="28">
        <v>0.2198004832699853</v>
      </c>
      <c r="I73" s="28"/>
      <c r="J73" s="28">
        <v>0.334057288896078</v>
      </c>
      <c r="K73" s="28"/>
      <c r="L73" s="28">
        <v>0.42209200204030534</v>
      </c>
      <c r="M73" s="133" t="s">
        <v>85</v>
      </c>
      <c r="N73" s="35"/>
      <c r="O73" s="135">
        <v>1000</v>
      </c>
      <c r="P73" s="135">
        <v>1</v>
      </c>
      <c r="Q73" s="33">
        <f t="shared" si="10"/>
        <v>73.329103091940922</v>
      </c>
      <c r="R73" s="33">
        <f t="shared" si="11"/>
        <v>134.08913811397005</v>
      </c>
      <c r="S73" s="33">
        <f t="shared" si="12"/>
        <v>219.80048326998531</v>
      </c>
      <c r="T73" s="33">
        <f t="shared" si="13"/>
        <v>334.05728889607798</v>
      </c>
      <c r="U73" s="33">
        <f t="shared" si="14"/>
        <v>422.09200204030532</v>
      </c>
      <c r="V73" s="33">
        <f t="shared" si="15"/>
        <v>73.329103091940922</v>
      </c>
      <c r="W73" s="33">
        <f t="shared" si="16"/>
        <v>134.08913811397005</v>
      </c>
      <c r="X73" s="33">
        <f t="shared" si="17"/>
        <v>219.80048326998531</v>
      </c>
      <c r="Y73" s="33">
        <f t="shared" si="18"/>
        <v>334.05728889607798</v>
      </c>
      <c r="Z73" s="33">
        <f t="shared" si="19"/>
        <v>422.09200204030532</v>
      </c>
    </row>
    <row r="74" spans="1:26" hidden="1" x14ac:dyDescent="0.25">
      <c r="A74" s="84" t="s">
        <v>201</v>
      </c>
      <c r="B74" s="77" t="s">
        <v>199</v>
      </c>
      <c r="C74" s="28">
        <v>0.10742808270298149</v>
      </c>
      <c r="D74" s="28">
        <v>0.13919546199227564</v>
      </c>
      <c r="E74" s="28">
        <v>0.13428510337872684</v>
      </c>
      <c r="F74" s="28">
        <v>0.17399432749034452</v>
      </c>
      <c r="G74" s="28">
        <v>0.16114212405447223</v>
      </c>
      <c r="H74" s="28">
        <v>0.20879319298841345</v>
      </c>
      <c r="I74" s="28">
        <v>0.18799914473021759</v>
      </c>
      <c r="J74" s="28">
        <v>0.24359205848648233</v>
      </c>
      <c r="K74" s="28">
        <v>0.21485616540596297</v>
      </c>
      <c r="L74" s="28">
        <v>0.27839092398455129</v>
      </c>
      <c r="M74" s="131" t="s">
        <v>198</v>
      </c>
      <c r="N74" s="35"/>
      <c r="O74" s="135">
        <v>1000</v>
      </c>
      <c r="P74" s="135">
        <v>1</v>
      </c>
      <c r="Q74" s="33">
        <f t="shared" si="10"/>
        <v>139.19546199227565</v>
      </c>
      <c r="R74" s="33">
        <f t="shared" si="11"/>
        <v>173.99432749034452</v>
      </c>
      <c r="S74" s="33">
        <f t="shared" si="12"/>
        <v>208.79319298841344</v>
      </c>
      <c r="T74" s="33">
        <f t="shared" si="13"/>
        <v>243.59205848648233</v>
      </c>
      <c r="U74" s="33">
        <f t="shared" si="14"/>
        <v>278.39092398455131</v>
      </c>
      <c r="V74" s="33">
        <f t="shared" si="15"/>
        <v>139.19546199227565</v>
      </c>
      <c r="W74" s="33">
        <f t="shared" si="16"/>
        <v>173.99432749034452</v>
      </c>
      <c r="X74" s="33">
        <f t="shared" si="17"/>
        <v>208.79319298841344</v>
      </c>
      <c r="Y74" s="33">
        <f t="shared" si="18"/>
        <v>243.59205848648233</v>
      </c>
      <c r="Z74" s="33">
        <f t="shared" si="19"/>
        <v>278.39092398455131</v>
      </c>
    </row>
    <row r="75" spans="1:26" hidden="1" x14ac:dyDescent="0.25">
      <c r="A75" s="31" t="s">
        <v>46</v>
      </c>
      <c r="B75" s="88" t="s">
        <v>203</v>
      </c>
      <c r="C75" s="28">
        <v>6.8000000000000005E-2</v>
      </c>
      <c r="D75" s="28">
        <v>0.11312128666666665</v>
      </c>
      <c r="E75" s="28">
        <v>8.5000000000000006E-2</v>
      </c>
      <c r="F75" s="28">
        <v>0.14140160833333335</v>
      </c>
      <c r="G75" s="28">
        <v>0.10199999999999999</v>
      </c>
      <c r="H75" s="28">
        <v>0.16968192999999995</v>
      </c>
      <c r="I75" s="28">
        <v>0.11899999999999999</v>
      </c>
      <c r="J75" s="28">
        <v>0.19796225166666664</v>
      </c>
      <c r="K75" s="29">
        <v>0.13600000000000001</v>
      </c>
      <c r="L75" s="28">
        <v>0.22624257333333331</v>
      </c>
      <c r="M75" s="130" t="s">
        <v>128</v>
      </c>
      <c r="N75" s="35" t="s">
        <v>137</v>
      </c>
      <c r="O75" s="135">
        <v>1000</v>
      </c>
      <c r="P75" s="135">
        <v>1</v>
      </c>
      <c r="Q75" s="33">
        <f t="shared" si="10"/>
        <v>113.12128666666665</v>
      </c>
      <c r="R75" s="33">
        <f t="shared" si="11"/>
        <v>141.40160833333334</v>
      </c>
      <c r="S75" s="33">
        <f t="shared" si="12"/>
        <v>169.68192999999997</v>
      </c>
      <c r="T75" s="33">
        <f t="shared" si="13"/>
        <v>197.96225166666665</v>
      </c>
      <c r="U75" s="33">
        <f t="shared" si="14"/>
        <v>226.2425733333333</v>
      </c>
      <c r="V75" s="33">
        <f t="shared" si="15"/>
        <v>113.12128666666665</v>
      </c>
      <c r="W75" s="33">
        <f t="shared" si="16"/>
        <v>141.40160833333334</v>
      </c>
      <c r="X75" s="33">
        <f t="shared" si="17"/>
        <v>169.68192999999997</v>
      </c>
      <c r="Y75" s="33">
        <f t="shared" si="18"/>
        <v>197.96225166666665</v>
      </c>
      <c r="Z75" s="33">
        <f t="shared" si="19"/>
        <v>226.2425733333333</v>
      </c>
    </row>
    <row r="76" spans="1:26" hidden="1" x14ac:dyDescent="0.25">
      <c r="A76" s="85" t="s">
        <v>46</v>
      </c>
      <c r="B76" s="77" t="s">
        <v>199</v>
      </c>
      <c r="C76" s="28">
        <v>3.3503830928553087E-2</v>
      </c>
      <c r="D76" s="28">
        <v>5.5735242101476262E-2</v>
      </c>
      <c r="E76" s="28">
        <v>5.8341290419510826E-2</v>
      </c>
      <c r="F76" s="28">
        <v>9.7053556441893188E-2</v>
      </c>
      <c r="G76" s="28">
        <v>0.10075270942259493</v>
      </c>
      <c r="H76" s="28">
        <v>0.16760700183877539</v>
      </c>
      <c r="I76" s="28">
        <v>0.11754482765969408</v>
      </c>
      <c r="J76" s="28">
        <v>0.19554150214523794</v>
      </c>
      <c r="K76" s="28">
        <v>0.17605825136816797</v>
      </c>
      <c r="L76" s="28">
        <v>0.29288141063309686</v>
      </c>
      <c r="M76" s="131" t="s">
        <v>198</v>
      </c>
      <c r="N76" s="35"/>
      <c r="O76" s="135">
        <v>1000</v>
      </c>
      <c r="P76" s="135">
        <v>1</v>
      </c>
      <c r="Q76" s="33">
        <f t="shared" si="10"/>
        <v>55.73524210147626</v>
      </c>
      <c r="R76" s="33">
        <f t="shared" si="11"/>
        <v>97.053556441893193</v>
      </c>
      <c r="S76" s="33">
        <f t="shared" si="12"/>
        <v>167.60700183877537</v>
      </c>
      <c r="T76" s="33">
        <f t="shared" si="13"/>
        <v>195.54150214523793</v>
      </c>
      <c r="U76" s="33">
        <f t="shared" si="14"/>
        <v>292.88141063309683</v>
      </c>
      <c r="V76" s="33">
        <f t="shared" si="15"/>
        <v>55.73524210147626</v>
      </c>
      <c r="W76" s="33">
        <f t="shared" si="16"/>
        <v>97.053556441893193</v>
      </c>
      <c r="X76" s="33">
        <f t="shared" si="17"/>
        <v>167.60700183877537</v>
      </c>
      <c r="Y76" s="33">
        <f t="shared" si="18"/>
        <v>195.54150214523793</v>
      </c>
      <c r="Z76" s="33">
        <f t="shared" si="19"/>
        <v>292.88141063309683</v>
      </c>
    </row>
    <row r="77" spans="1:26" x14ac:dyDescent="0.25">
      <c r="A77" s="30" t="s">
        <v>47</v>
      </c>
      <c r="B77" s="80" t="s">
        <v>95</v>
      </c>
      <c r="C77" s="29">
        <v>0.67583025830258303</v>
      </c>
      <c r="D77" s="29">
        <f>'Total especies y métodos'!D76</f>
        <v>0.4564333244723322</v>
      </c>
      <c r="E77" s="29">
        <f>'Total especies y métodos'!E76</f>
        <v>1.099248120300752</v>
      </c>
      <c r="F77" s="29">
        <f>'Total especies y métodos'!F76</f>
        <v>0.78694276633853766</v>
      </c>
      <c r="G77" s="29">
        <f>'Total especies y métodos'!G76</f>
        <v>1.552547770700637</v>
      </c>
      <c r="H77" s="29">
        <f>'Total especies y métodos'!H76</f>
        <v>1.1651157738742044</v>
      </c>
      <c r="I77" s="29">
        <f>'Total especies y métodos'!I76</f>
        <v>2.0538759689922479</v>
      </c>
      <c r="J77" s="29">
        <f>'Total especies y métodos'!J76</f>
        <v>1.5580231120134596</v>
      </c>
      <c r="K77" s="29">
        <f>'Total especies y métodos'!K76</f>
        <v>2.5878999999999999</v>
      </c>
      <c r="L77" s="29">
        <f>'Total especies y métodos'!L76</f>
        <v>1.7805978423010973</v>
      </c>
      <c r="M77" s="24" t="s">
        <v>81</v>
      </c>
      <c r="N77" s="35" t="s">
        <v>121</v>
      </c>
      <c r="O77" s="135">
        <v>1000</v>
      </c>
      <c r="P77" s="135">
        <v>1</v>
      </c>
      <c r="Q77" s="33">
        <f t="shared" si="10"/>
        <v>456.43332447233217</v>
      </c>
      <c r="R77" s="33">
        <f t="shared" si="11"/>
        <v>786.94276633853769</v>
      </c>
      <c r="S77" s="33">
        <f t="shared" si="12"/>
        <v>1165.1157738742045</v>
      </c>
      <c r="T77" s="33">
        <f t="shared" si="13"/>
        <v>1558.0231120134595</v>
      </c>
      <c r="U77" s="33">
        <f t="shared" si="14"/>
        <v>1780.5978423010972</v>
      </c>
      <c r="V77" s="33">
        <f t="shared" si="15"/>
        <v>456.43332447233217</v>
      </c>
      <c r="W77" s="33">
        <f t="shared" si="16"/>
        <v>786.94276633853769</v>
      </c>
      <c r="X77" s="33">
        <f t="shared" si="17"/>
        <v>1165.1157738742045</v>
      </c>
      <c r="Y77" s="33">
        <f t="shared" si="18"/>
        <v>1558.0231120134595</v>
      </c>
      <c r="Z77" s="33">
        <f t="shared" si="19"/>
        <v>1780.5978423010972</v>
      </c>
    </row>
    <row r="78" spans="1:26" x14ac:dyDescent="0.25">
      <c r="A78" s="31" t="s">
        <v>47</v>
      </c>
      <c r="B78" s="88" t="s">
        <v>203</v>
      </c>
      <c r="C78" s="28">
        <v>0.25600000000000001</v>
      </c>
      <c r="D78" s="28">
        <v>0.26536106666666665</v>
      </c>
      <c r="E78" s="28">
        <v>0.53400000000000003</v>
      </c>
      <c r="F78" s="28">
        <v>0.55352659999999998</v>
      </c>
      <c r="G78" s="28">
        <v>0.92300000000000004</v>
      </c>
      <c r="H78" s="28">
        <v>0.95675103333333333</v>
      </c>
      <c r="I78" s="28">
        <v>1.4350000000000001</v>
      </c>
      <c r="J78" s="28">
        <v>1.4874731666666665</v>
      </c>
      <c r="K78" s="29">
        <v>2.0790000000000002</v>
      </c>
      <c r="L78" s="28">
        <v>2.1550221000000001</v>
      </c>
      <c r="M78" s="130" t="s">
        <v>128</v>
      </c>
      <c r="N78" s="35"/>
      <c r="O78" s="135">
        <v>1000</v>
      </c>
      <c r="P78" s="135">
        <v>1</v>
      </c>
      <c r="Q78" s="33">
        <f t="shared" si="10"/>
        <v>265.36106666666666</v>
      </c>
      <c r="R78" s="33">
        <f t="shared" si="11"/>
        <v>553.52660000000003</v>
      </c>
      <c r="S78" s="33">
        <f t="shared" si="12"/>
        <v>956.75103333333334</v>
      </c>
      <c r="T78" s="33">
        <f t="shared" si="13"/>
        <v>1487.4731666666664</v>
      </c>
      <c r="U78" s="33">
        <f t="shared" si="14"/>
        <v>2155.0221000000001</v>
      </c>
      <c r="V78" s="33">
        <f t="shared" si="15"/>
        <v>265.36106666666666</v>
      </c>
      <c r="W78" s="33">
        <f t="shared" si="16"/>
        <v>553.52660000000003</v>
      </c>
      <c r="X78" s="33">
        <f t="shared" si="17"/>
        <v>956.75103333333334</v>
      </c>
      <c r="Y78" s="33">
        <f t="shared" si="18"/>
        <v>1487.4731666666664</v>
      </c>
      <c r="Z78" s="33">
        <f t="shared" si="19"/>
        <v>2155.0221000000001</v>
      </c>
    </row>
    <row r="79" spans="1:26" x14ac:dyDescent="0.25">
      <c r="A79" s="85" t="s">
        <v>47</v>
      </c>
      <c r="B79" s="77" t="s">
        <v>199</v>
      </c>
      <c r="C79" s="28">
        <v>0.31777502341536062</v>
      </c>
      <c r="D79" s="28">
        <v>0.32939499677158235</v>
      </c>
      <c r="E79" s="28">
        <v>0.55930534071995763</v>
      </c>
      <c r="F79" s="28">
        <v>0.57975727267895072</v>
      </c>
      <c r="G79" s="28">
        <v>1.1056419210053683</v>
      </c>
      <c r="H79" s="28">
        <v>1.1460715605834644</v>
      </c>
      <c r="I79" s="28">
        <v>1.7462315731181992</v>
      </c>
      <c r="J79" s="28">
        <v>1.8100854409752209</v>
      </c>
      <c r="K79" s="28">
        <v>2.6150138968397703</v>
      </c>
      <c r="L79" s="28">
        <v>2.7106362383342106</v>
      </c>
      <c r="M79" s="131" t="s">
        <v>198</v>
      </c>
      <c r="N79" s="35"/>
      <c r="O79" s="135">
        <v>1000</v>
      </c>
      <c r="P79" s="135">
        <v>1</v>
      </c>
      <c r="Q79" s="33">
        <f t="shared" si="10"/>
        <v>329.39499677158233</v>
      </c>
      <c r="R79" s="33">
        <f t="shared" si="11"/>
        <v>579.7572726789507</v>
      </c>
      <c r="S79" s="33">
        <f t="shared" si="12"/>
        <v>1146.0715605834644</v>
      </c>
      <c r="T79" s="33">
        <f t="shared" si="13"/>
        <v>1810.085440975221</v>
      </c>
      <c r="U79" s="33">
        <f t="shared" si="14"/>
        <v>2710.6362383342107</v>
      </c>
      <c r="V79" s="33">
        <f t="shared" si="15"/>
        <v>329.39499677158233</v>
      </c>
      <c r="W79" s="33">
        <f t="shared" si="16"/>
        <v>579.7572726789507</v>
      </c>
      <c r="X79" s="33">
        <f t="shared" si="17"/>
        <v>1146.0715605834644</v>
      </c>
      <c r="Y79" s="33">
        <f t="shared" si="18"/>
        <v>1810.085440975221</v>
      </c>
      <c r="Z79" s="33">
        <f t="shared" si="19"/>
        <v>2710.6362383342107</v>
      </c>
    </row>
    <row r="80" spans="1:26" x14ac:dyDescent="0.25">
      <c r="A80" s="127" t="s">
        <v>47</v>
      </c>
      <c r="B80" s="126"/>
      <c r="C80" s="28"/>
      <c r="D80" s="28">
        <v>0.6347880113549772</v>
      </c>
      <c r="E80" s="28"/>
      <c r="F80" s="28">
        <v>1.0173346238390923</v>
      </c>
      <c r="G80" s="28"/>
      <c r="H80" s="28">
        <v>1.4175702293543506</v>
      </c>
      <c r="I80" s="28"/>
      <c r="J80" s="28">
        <v>1.8563619864045695</v>
      </c>
      <c r="K80" s="28"/>
      <c r="L80" s="28">
        <v>2.7347329518756447</v>
      </c>
      <c r="M80" s="133" t="s">
        <v>85</v>
      </c>
      <c r="N80" s="35"/>
      <c r="O80" s="135">
        <v>1000</v>
      </c>
      <c r="P80" s="135">
        <v>1</v>
      </c>
      <c r="Q80" s="33">
        <f t="shared" si="10"/>
        <v>634.78801135497724</v>
      </c>
      <c r="R80" s="33">
        <f t="shared" si="11"/>
        <v>1017.3346238390924</v>
      </c>
      <c r="S80" s="33">
        <f t="shared" si="12"/>
        <v>1417.5702293543507</v>
      </c>
      <c r="T80" s="33">
        <f t="shared" si="13"/>
        <v>1856.3619864045695</v>
      </c>
      <c r="U80" s="33">
        <f t="shared" si="14"/>
        <v>2734.7329518756446</v>
      </c>
      <c r="V80" s="33">
        <f t="shared" si="15"/>
        <v>634.78801135497724</v>
      </c>
      <c r="W80" s="33">
        <f t="shared" si="16"/>
        <v>1017.3346238390924</v>
      </c>
      <c r="X80" s="33">
        <f t="shared" si="17"/>
        <v>1417.5702293543507</v>
      </c>
      <c r="Y80" s="33">
        <f t="shared" si="18"/>
        <v>1856.3619864045695</v>
      </c>
      <c r="Z80" s="33">
        <f t="shared" si="19"/>
        <v>2734.7329518756446</v>
      </c>
    </row>
    <row r="81" spans="1:26" x14ac:dyDescent="0.25">
      <c r="A81" s="792" t="s">
        <v>48</v>
      </c>
      <c r="B81" s="80" t="s">
        <v>288</v>
      </c>
      <c r="C81" s="29">
        <v>4.7578749412317822E-2</v>
      </c>
      <c r="D81" s="29">
        <f>'Total especies y métodos'!D80</f>
        <v>2.0214699176883854E-2</v>
      </c>
      <c r="E81" s="29">
        <f>'Total especies y métodos'!E80</f>
        <v>5.9473436765397278E-2</v>
      </c>
      <c r="F81" s="29">
        <f>'Total especies y métodos'!F80</f>
        <v>5.0853708186201808E-2</v>
      </c>
      <c r="G81" s="29">
        <f>'Total especies y métodos'!G80</f>
        <v>7.1368124118476733E-2</v>
      </c>
      <c r="H81" s="29">
        <f>'Total especies y métodos'!H80</f>
        <v>6.102444982344217E-2</v>
      </c>
      <c r="I81" s="29">
        <f>'Total especies y métodos'!I80</f>
        <v>8.3262811471556189E-2</v>
      </c>
      <c r="J81" s="29">
        <f>'Total especies y métodos'!J80</f>
        <v>0.14704079816421481</v>
      </c>
      <c r="K81" s="29">
        <f>'Total especies y métodos'!K80</f>
        <v>0.17998417721518986</v>
      </c>
      <c r="L81" s="29">
        <f>'Total especies y métodos'!L80</f>
        <v>0.16804662647338833</v>
      </c>
      <c r="M81" s="24" t="s">
        <v>81</v>
      </c>
      <c r="N81" s="35" t="s">
        <v>126</v>
      </c>
      <c r="O81" s="135">
        <v>1000</v>
      </c>
      <c r="P81" s="135">
        <v>1</v>
      </c>
      <c r="Q81" s="33">
        <f t="shared" si="10"/>
        <v>20.214699176883855</v>
      </c>
      <c r="R81" s="33">
        <f t="shared" si="11"/>
        <v>50.853708186201807</v>
      </c>
      <c r="S81" s="33">
        <f t="shared" si="12"/>
        <v>61.024449823442168</v>
      </c>
      <c r="T81" s="33">
        <f t="shared" si="13"/>
        <v>147.04079816421481</v>
      </c>
      <c r="U81" s="33">
        <f t="shared" si="14"/>
        <v>168.04662647338833</v>
      </c>
      <c r="V81" s="33">
        <f t="shared" si="15"/>
        <v>20.214699176883855</v>
      </c>
      <c r="W81" s="33">
        <f t="shared" si="16"/>
        <v>50.853708186201807</v>
      </c>
      <c r="X81" s="33">
        <f t="shared" si="17"/>
        <v>61.024449823442168</v>
      </c>
      <c r="Y81" s="33">
        <f t="shared" si="18"/>
        <v>147.04079816421481</v>
      </c>
      <c r="Z81" s="33">
        <f t="shared" si="19"/>
        <v>168.04662647338833</v>
      </c>
    </row>
    <row r="82" spans="1:26" hidden="1" x14ac:dyDescent="0.25">
      <c r="A82" s="799"/>
      <c r="B82" s="80" t="s">
        <v>94</v>
      </c>
      <c r="C82" s="29">
        <v>2.9976019184652279E-2</v>
      </c>
      <c r="D82" s="29">
        <f>'Total especies y métodos'!D81</f>
        <v>3.1639288306640985E-2</v>
      </c>
      <c r="E82" s="29">
        <f>'Total especies y métodos'!E81</f>
        <v>1.0594734367654</v>
      </c>
      <c r="F82" s="29">
        <f>'Total especies y métodos'!F81</f>
        <v>3.9549110383301236E-2</v>
      </c>
      <c r="G82" s="29">
        <f>'Total especies y métodos'!G81</f>
        <v>1.07136812411848</v>
      </c>
      <c r="H82" s="29">
        <f>'Total especies y métodos'!H81</f>
        <v>4.7458932459961474E-2</v>
      </c>
      <c r="I82" s="29">
        <f>'Total especies y métodos'!I81</f>
        <v>1.0832628114715599</v>
      </c>
      <c r="J82" s="29">
        <f>'Total especies y métodos'!J81</f>
        <v>9.1964080011148003E-2</v>
      </c>
      <c r="K82" s="29">
        <f>'Total especies y métodos'!K81</f>
        <v>1.17998417721519</v>
      </c>
      <c r="L82" s="29">
        <f>'Total especies y métodos'!L81</f>
        <v>0.10795822541769297</v>
      </c>
      <c r="M82" s="24" t="s">
        <v>81</v>
      </c>
      <c r="N82" s="35" t="s">
        <v>120</v>
      </c>
      <c r="O82" s="135">
        <v>1000</v>
      </c>
      <c r="P82" s="135">
        <v>1</v>
      </c>
      <c r="Q82" s="33">
        <f t="shared" si="10"/>
        <v>31.639288306640985</v>
      </c>
      <c r="R82" s="33">
        <f t="shared" si="11"/>
        <v>39.549110383301233</v>
      </c>
      <c r="S82" s="33">
        <f t="shared" si="12"/>
        <v>47.458932459961474</v>
      </c>
      <c r="T82" s="33">
        <f t="shared" si="13"/>
        <v>91.964080011147999</v>
      </c>
      <c r="U82" s="33">
        <f t="shared" si="14"/>
        <v>107.95822541769297</v>
      </c>
      <c r="V82" s="33">
        <f t="shared" si="15"/>
        <v>31.639288306640985</v>
      </c>
      <c r="W82" s="33">
        <f t="shared" si="16"/>
        <v>39.549110383301233</v>
      </c>
      <c r="X82" s="33">
        <f t="shared" si="17"/>
        <v>47.458932459961474</v>
      </c>
      <c r="Y82" s="33">
        <f t="shared" si="18"/>
        <v>91.964080011147999</v>
      </c>
      <c r="Z82" s="33">
        <f t="shared" si="19"/>
        <v>107.95822541769297</v>
      </c>
    </row>
    <row r="83" spans="1:26" hidden="1" x14ac:dyDescent="0.25">
      <c r="A83" s="800"/>
      <c r="B83" s="80" t="s">
        <v>96</v>
      </c>
      <c r="C83" s="29"/>
      <c r="D83" s="29">
        <f>'Total especies y métodos'!D82</f>
        <v>4.3635426256541009E-2</v>
      </c>
      <c r="E83" s="29">
        <f>'Total especies y métodos'!E82</f>
        <v>2.0594734367654</v>
      </c>
      <c r="F83" s="29">
        <f>'Total especies y métodos'!F82</f>
        <v>5.4544282820676256E-2</v>
      </c>
      <c r="G83" s="29">
        <f>'Total especies y métodos'!G82</f>
        <v>2.07136812411848</v>
      </c>
      <c r="H83" s="29">
        <f>'Total especies y métodos'!H82</f>
        <v>6.545313938481151E-2</v>
      </c>
      <c r="I83" s="29">
        <f>'Total especies y métodos'!I82</f>
        <v>2.0832628114715601</v>
      </c>
      <c r="J83" s="29">
        <f>'Total especies y métodos'!J82</f>
        <v>0.10950251840392226</v>
      </c>
      <c r="K83" s="29">
        <f>'Total especies y métodos'!K82</f>
        <v>2.1799841772151902</v>
      </c>
      <c r="L83" s="29">
        <f>'Total especies y métodos'!L82</f>
        <v>0.16625264941496601</v>
      </c>
      <c r="M83" s="24"/>
      <c r="N83" s="35"/>
      <c r="O83" s="135"/>
      <c r="P83" s="135"/>
      <c r="Q83" s="33"/>
      <c r="R83" s="33"/>
      <c r="S83" s="33"/>
      <c r="T83" s="33"/>
      <c r="U83" s="33"/>
      <c r="V83" s="33"/>
      <c r="W83" s="33"/>
      <c r="X83" s="33"/>
      <c r="Y83" s="33"/>
      <c r="Z83" s="33"/>
    </row>
    <row r="84" spans="1:26" x14ac:dyDescent="0.25">
      <c r="A84" s="31" t="s">
        <v>48</v>
      </c>
      <c r="B84" s="88" t="s">
        <v>203</v>
      </c>
      <c r="C84" s="28">
        <v>6.2E-2</v>
      </c>
      <c r="D84" s="28">
        <v>9.0135393333333313E-2</v>
      </c>
      <c r="E84" s="28">
        <v>7.7499999999999999E-2</v>
      </c>
      <c r="F84" s="28">
        <v>0.11266924166666666</v>
      </c>
      <c r="G84" s="28">
        <v>9.2999999999999999E-2</v>
      </c>
      <c r="H84" s="28">
        <v>0.13520308999999997</v>
      </c>
      <c r="I84" s="28">
        <v>0.1085</v>
      </c>
      <c r="J84" s="28">
        <v>0.15773693833333333</v>
      </c>
      <c r="K84" s="29">
        <v>0.124</v>
      </c>
      <c r="L84" s="28">
        <v>0.18027078666666663</v>
      </c>
      <c r="M84" s="130" t="s">
        <v>128</v>
      </c>
      <c r="N84" s="35" t="s">
        <v>137</v>
      </c>
      <c r="O84" s="135">
        <v>2500</v>
      </c>
      <c r="P84" s="135">
        <v>1</v>
      </c>
      <c r="Q84" s="33">
        <f t="shared" si="10"/>
        <v>225.33848333333327</v>
      </c>
      <c r="R84" s="33">
        <f t="shared" si="11"/>
        <v>281.67310416666663</v>
      </c>
      <c r="S84" s="33">
        <f t="shared" si="12"/>
        <v>338.00772499999994</v>
      </c>
      <c r="T84" s="33">
        <f t="shared" si="13"/>
        <v>394.3423458333333</v>
      </c>
      <c r="U84" s="33">
        <f t="shared" si="14"/>
        <v>450.67696666666654</v>
      </c>
      <c r="V84" s="33">
        <f t="shared" si="15"/>
        <v>225.33848333333327</v>
      </c>
      <c r="W84" s="33">
        <f t="shared" si="16"/>
        <v>281.67310416666663</v>
      </c>
      <c r="X84" s="33">
        <f t="shared" si="17"/>
        <v>338.00772499999994</v>
      </c>
      <c r="Y84" s="33">
        <f t="shared" si="18"/>
        <v>394.3423458333333</v>
      </c>
      <c r="Z84" s="33">
        <f t="shared" si="19"/>
        <v>450.67696666666654</v>
      </c>
    </row>
    <row r="85" spans="1:26" x14ac:dyDescent="0.25">
      <c r="A85" s="85" t="s">
        <v>48</v>
      </c>
      <c r="B85" s="77" t="s">
        <v>199</v>
      </c>
      <c r="C85" s="28">
        <v>2.5368496278808071E-2</v>
      </c>
      <c r="D85" s="28">
        <v>3.6880635328476907E-2</v>
      </c>
      <c r="E85" s="28">
        <v>6.40322140670921E-2</v>
      </c>
      <c r="F85" s="28">
        <v>9.3089819370024932E-2</v>
      </c>
      <c r="G85" s="28">
        <v>7.6838656880510517E-2</v>
      </c>
      <c r="H85" s="28">
        <v>0.11170778324402991</v>
      </c>
      <c r="I85" s="28">
        <v>0.13420830181283941</v>
      </c>
      <c r="J85" s="28">
        <v>0.19511158181449983</v>
      </c>
      <c r="K85" s="28">
        <v>0.15338091635753076</v>
      </c>
      <c r="L85" s="28">
        <v>0.222984664930857</v>
      </c>
      <c r="M85" s="131" t="s">
        <v>198</v>
      </c>
      <c r="N85" s="35"/>
      <c r="O85" s="135">
        <v>2500</v>
      </c>
      <c r="P85" s="135">
        <v>1</v>
      </c>
      <c r="Q85" s="33">
        <f t="shared" si="10"/>
        <v>92.201588321192261</v>
      </c>
      <c r="R85" s="33">
        <f t="shared" si="11"/>
        <v>232.72454842506232</v>
      </c>
      <c r="S85" s="33">
        <f t="shared" si="12"/>
        <v>279.26945811007477</v>
      </c>
      <c r="T85" s="33">
        <f t="shared" si="13"/>
        <v>487.77895453624961</v>
      </c>
      <c r="U85" s="33">
        <f t="shared" si="14"/>
        <v>557.46166232714245</v>
      </c>
      <c r="V85" s="33">
        <f t="shared" si="15"/>
        <v>92.201588321192261</v>
      </c>
      <c r="W85" s="33">
        <f t="shared" si="16"/>
        <v>232.72454842506232</v>
      </c>
      <c r="X85" s="33">
        <f t="shared" si="17"/>
        <v>279.26945811007477</v>
      </c>
      <c r="Y85" s="33">
        <f t="shared" si="18"/>
        <v>487.77895453624961</v>
      </c>
      <c r="Z85" s="33">
        <f t="shared" si="19"/>
        <v>557.46166232714245</v>
      </c>
    </row>
    <row r="86" spans="1:26" x14ac:dyDescent="0.25">
      <c r="A86" s="127" t="s">
        <v>48</v>
      </c>
      <c r="B86" s="126" t="s">
        <v>229</v>
      </c>
      <c r="C86" s="28"/>
      <c r="D86" s="28">
        <v>6.818251395571974E-2</v>
      </c>
      <c r="E86" s="28"/>
      <c r="F86" s="28">
        <v>0.11328301245370812</v>
      </c>
      <c r="G86" s="28"/>
      <c r="H86" s="28">
        <v>0.25256765800093695</v>
      </c>
      <c r="I86" s="28"/>
      <c r="J86" s="28">
        <v>0.42436886474774788</v>
      </c>
      <c r="K86" s="28"/>
      <c r="L86" s="28">
        <v>0.62140325587320611</v>
      </c>
      <c r="M86" s="133" t="s">
        <v>85</v>
      </c>
      <c r="N86" s="35"/>
      <c r="O86" s="135">
        <v>2500</v>
      </c>
      <c r="P86" s="135">
        <v>1</v>
      </c>
      <c r="Q86" s="33">
        <f t="shared" si="10"/>
        <v>170.45628488929935</v>
      </c>
      <c r="R86" s="33">
        <f t="shared" si="11"/>
        <v>283.20753113427031</v>
      </c>
      <c r="S86" s="33">
        <f t="shared" si="12"/>
        <v>631.41914500234236</v>
      </c>
      <c r="T86" s="33">
        <f t="shared" si="13"/>
        <v>1060.9221618693698</v>
      </c>
      <c r="U86" s="33">
        <f t="shared" si="14"/>
        <v>1553.5081396830153</v>
      </c>
      <c r="V86" s="33">
        <f t="shared" si="15"/>
        <v>170.45628488929935</v>
      </c>
      <c r="W86" s="33">
        <f t="shared" si="16"/>
        <v>283.20753113427031</v>
      </c>
      <c r="X86" s="33">
        <f t="shared" si="17"/>
        <v>631.41914500234236</v>
      </c>
      <c r="Y86" s="33">
        <f t="shared" si="18"/>
        <v>1060.9221618693698</v>
      </c>
      <c r="Z86" s="33">
        <f t="shared" si="19"/>
        <v>1553.5081396830153</v>
      </c>
    </row>
    <row r="87" spans="1:26" hidden="1" x14ac:dyDescent="0.25">
      <c r="A87" s="31" t="s">
        <v>49</v>
      </c>
      <c r="B87" s="88" t="s">
        <v>203</v>
      </c>
      <c r="C87" s="28">
        <v>3.2000000000000001E-2</v>
      </c>
      <c r="D87" s="28">
        <v>4.9564533333333334E-2</v>
      </c>
      <c r="E87" s="28">
        <v>0.04</v>
      </c>
      <c r="F87" s="28">
        <v>6.1955666666666666E-2</v>
      </c>
      <c r="G87" s="28">
        <v>4.8000000000000001E-2</v>
      </c>
      <c r="H87" s="28">
        <v>7.4346800000000005E-2</v>
      </c>
      <c r="I87" s="28">
        <v>5.6000000000000001E-2</v>
      </c>
      <c r="J87" s="28">
        <v>8.6737933333333336E-2</v>
      </c>
      <c r="K87" s="29">
        <v>6.4000000000000001E-2</v>
      </c>
      <c r="L87" s="28">
        <v>9.9129066666666668E-2</v>
      </c>
      <c r="M87" s="130" t="s">
        <v>128</v>
      </c>
      <c r="N87" s="35" t="s">
        <v>129</v>
      </c>
      <c r="O87" s="135">
        <v>2500</v>
      </c>
      <c r="P87" s="135">
        <v>1</v>
      </c>
      <c r="Q87" s="33">
        <f t="shared" si="10"/>
        <v>123.91133333333333</v>
      </c>
      <c r="R87" s="33">
        <f t="shared" si="11"/>
        <v>154.88916666666665</v>
      </c>
      <c r="S87" s="33">
        <f t="shared" si="12"/>
        <v>185.86700000000002</v>
      </c>
      <c r="T87" s="33">
        <f t="shared" si="13"/>
        <v>216.84483333333333</v>
      </c>
      <c r="U87" s="33">
        <f t="shared" si="14"/>
        <v>247.82266666666666</v>
      </c>
      <c r="V87" s="33">
        <f t="shared" si="15"/>
        <v>123.91133333333333</v>
      </c>
      <c r="W87" s="33">
        <f t="shared" si="16"/>
        <v>154.88916666666665</v>
      </c>
      <c r="X87" s="33">
        <f t="shared" si="17"/>
        <v>185.86700000000002</v>
      </c>
      <c r="Y87" s="33">
        <f t="shared" si="18"/>
        <v>216.84483333333333</v>
      </c>
      <c r="Z87" s="33">
        <f t="shared" si="19"/>
        <v>247.82266666666666</v>
      </c>
    </row>
    <row r="88" spans="1:26" hidden="1" x14ac:dyDescent="0.25">
      <c r="A88" s="85" t="s">
        <v>49</v>
      </c>
      <c r="B88" s="77" t="s">
        <v>199</v>
      </c>
      <c r="C88" s="28">
        <v>2.3631844082256638E-2</v>
      </c>
      <c r="D88" s="28">
        <v>3.6603166366973285E-2</v>
      </c>
      <c r="E88" s="28">
        <v>2.9539805102820796E-2</v>
      </c>
      <c r="F88" s="28">
        <v>4.5753957958716604E-2</v>
      </c>
      <c r="G88" s="28">
        <v>5.8196712673332089E-2</v>
      </c>
      <c r="H88" s="28">
        <v>9.0140403287118462E-2</v>
      </c>
      <c r="I88" s="28">
        <v>6.7896164785554103E-2</v>
      </c>
      <c r="J88" s="28">
        <v>0.10516380383497152</v>
      </c>
      <c r="K88" s="28">
        <v>7.759561689777611E-2</v>
      </c>
      <c r="L88" s="28">
        <v>0.12018720438282458</v>
      </c>
      <c r="M88" s="131" t="s">
        <v>198</v>
      </c>
      <c r="N88" s="35"/>
      <c r="O88" s="135">
        <v>2500</v>
      </c>
      <c r="P88" s="135">
        <v>1</v>
      </c>
      <c r="Q88" s="33">
        <f t="shared" si="10"/>
        <v>91.507915917433209</v>
      </c>
      <c r="R88" s="33">
        <f t="shared" si="11"/>
        <v>114.38489489679151</v>
      </c>
      <c r="S88" s="33">
        <f t="shared" si="12"/>
        <v>225.35100821779616</v>
      </c>
      <c r="T88" s="33">
        <f t="shared" si="13"/>
        <v>262.90950958742883</v>
      </c>
      <c r="U88" s="33">
        <f t="shared" si="14"/>
        <v>300.46801095706144</v>
      </c>
      <c r="V88" s="33">
        <f t="shared" si="15"/>
        <v>91.507915917433209</v>
      </c>
      <c r="W88" s="33">
        <f t="shared" si="16"/>
        <v>114.38489489679151</v>
      </c>
      <c r="X88" s="33">
        <f t="shared" si="17"/>
        <v>225.35100821779616</v>
      </c>
      <c r="Y88" s="33">
        <f t="shared" si="18"/>
        <v>262.90950958742883</v>
      </c>
      <c r="Z88" s="33">
        <f t="shared" si="19"/>
        <v>300.46801095706144</v>
      </c>
    </row>
    <row r="89" spans="1:26" hidden="1" x14ac:dyDescent="0.25">
      <c r="A89" s="2" t="s">
        <v>50</v>
      </c>
      <c r="B89" s="79"/>
      <c r="C89" s="29"/>
      <c r="D89" s="28"/>
      <c r="E89" s="28"/>
      <c r="F89" s="28"/>
      <c r="G89" s="28"/>
      <c r="H89" s="28"/>
      <c r="I89" s="29"/>
      <c r="J89" s="29"/>
      <c r="K89" s="29"/>
      <c r="L89" s="29"/>
      <c r="M89" s="132"/>
      <c r="N89" s="35"/>
      <c r="O89" s="135">
        <v>2500</v>
      </c>
      <c r="P89" s="135">
        <v>1</v>
      </c>
      <c r="Q89" s="33">
        <f t="shared" si="10"/>
        <v>0</v>
      </c>
      <c r="R89" s="33">
        <f t="shared" si="11"/>
        <v>0</v>
      </c>
      <c r="S89" s="33">
        <f t="shared" si="12"/>
        <v>0</v>
      </c>
      <c r="T89" s="33">
        <f t="shared" si="13"/>
        <v>0</v>
      </c>
      <c r="U89" s="33">
        <f t="shared" si="14"/>
        <v>0</v>
      </c>
      <c r="V89" s="33">
        <f t="shared" si="15"/>
        <v>0</v>
      </c>
      <c r="W89" s="33">
        <f t="shared" si="16"/>
        <v>0</v>
      </c>
      <c r="X89" s="33">
        <f t="shared" si="17"/>
        <v>0</v>
      </c>
      <c r="Y89" s="33">
        <f t="shared" si="18"/>
        <v>0</v>
      </c>
      <c r="Z89" s="33">
        <f t="shared" si="19"/>
        <v>0</v>
      </c>
    </row>
    <row r="90" spans="1:26" hidden="1" x14ac:dyDescent="0.25">
      <c r="A90" s="2" t="s">
        <v>51</v>
      </c>
      <c r="B90" s="79"/>
      <c r="C90" s="29"/>
      <c r="D90" s="28"/>
      <c r="E90" s="28"/>
      <c r="F90" s="28"/>
      <c r="G90" s="28"/>
      <c r="H90" s="28"/>
      <c r="I90" s="29"/>
      <c r="J90" s="29"/>
      <c r="K90" s="29"/>
      <c r="L90" s="29"/>
      <c r="M90" s="132"/>
      <c r="N90" s="35"/>
      <c r="O90" s="135">
        <v>2500</v>
      </c>
      <c r="P90" s="135">
        <v>1</v>
      </c>
      <c r="Q90" s="33">
        <f t="shared" si="10"/>
        <v>0</v>
      </c>
      <c r="R90" s="33">
        <f t="shared" si="11"/>
        <v>0</v>
      </c>
      <c r="S90" s="33">
        <f t="shared" si="12"/>
        <v>0</v>
      </c>
      <c r="T90" s="33">
        <f t="shared" si="13"/>
        <v>0</v>
      </c>
      <c r="U90" s="33">
        <f t="shared" si="14"/>
        <v>0</v>
      </c>
      <c r="V90" s="33">
        <f t="shared" si="15"/>
        <v>0</v>
      </c>
      <c r="W90" s="33">
        <f t="shared" si="16"/>
        <v>0</v>
      </c>
      <c r="X90" s="33">
        <f t="shared" si="17"/>
        <v>0</v>
      </c>
      <c r="Y90" s="33">
        <f t="shared" si="18"/>
        <v>0</v>
      </c>
      <c r="Z90" s="33">
        <f t="shared" si="19"/>
        <v>0</v>
      </c>
    </row>
    <row r="91" spans="1:26" hidden="1" x14ac:dyDescent="0.25">
      <c r="A91" s="84" t="s">
        <v>108</v>
      </c>
      <c r="B91" s="77" t="s">
        <v>199</v>
      </c>
      <c r="C91" s="28">
        <v>0.13331567677235068</v>
      </c>
      <c r="D91" s="28">
        <v>0.20654286732427818</v>
      </c>
      <c r="E91" s="28">
        <v>0.29653007932906505</v>
      </c>
      <c r="F91" s="28">
        <v>0.45940713286933604</v>
      </c>
      <c r="G91" s="28">
        <v>0.43352669931402832</v>
      </c>
      <c r="H91" s="28">
        <v>0.67165279962424007</v>
      </c>
      <c r="I91" s="28">
        <v>0.59561593058269391</v>
      </c>
      <c r="J91" s="28">
        <v>0.92277386354672075</v>
      </c>
      <c r="K91" s="28">
        <v>0.81528022188747196</v>
      </c>
      <c r="L91" s="28">
        <v>1.2630946245650829</v>
      </c>
      <c r="M91" s="131" t="s">
        <v>198</v>
      </c>
      <c r="N91" s="35"/>
      <c r="O91" s="135">
        <v>2500</v>
      </c>
      <c r="P91" s="135">
        <v>1</v>
      </c>
      <c r="Q91" s="33">
        <f t="shared" si="10"/>
        <v>516.35716831069544</v>
      </c>
      <c r="R91" s="33">
        <f t="shared" si="11"/>
        <v>1148.5178321733401</v>
      </c>
      <c r="S91" s="33">
        <f t="shared" si="12"/>
        <v>1679.1319990606003</v>
      </c>
      <c r="T91" s="33">
        <f t="shared" si="13"/>
        <v>2306.9346588668018</v>
      </c>
      <c r="U91" s="33">
        <f t="shared" si="14"/>
        <v>3157.7365614127075</v>
      </c>
      <c r="V91" s="33">
        <f t="shared" si="15"/>
        <v>516.35716831069544</v>
      </c>
      <c r="W91" s="33">
        <f t="shared" si="16"/>
        <v>1148.5178321733401</v>
      </c>
      <c r="X91" s="33">
        <f t="shared" si="17"/>
        <v>1679.1319990606003</v>
      </c>
      <c r="Y91" s="33">
        <f t="shared" si="18"/>
        <v>2306.9346588668018</v>
      </c>
      <c r="Z91" s="33">
        <f t="shared" si="19"/>
        <v>3157.7365614127075</v>
      </c>
    </row>
    <row r="92" spans="1:26" hidden="1" x14ac:dyDescent="0.25">
      <c r="A92" s="31" t="s">
        <v>52</v>
      </c>
      <c r="B92" s="88" t="s">
        <v>203</v>
      </c>
      <c r="C92" s="28">
        <v>0.218</v>
      </c>
      <c r="D92" s="28">
        <v>0.33774231333333332</v>
      </c>
      <c r="E92" s="28">
        <v>0.38100000000000001</v>
      </c>
      <c r="F92" s="28">
        <v>0.59027441000000003</v>
      </c>
      <c r="G92" s="28">
        <v>0.57399999999999995</v>
      </c>
      <c r="H92" s="28">
        <v>0.88928480666666643</v>
      </c>
      <c r="I92" s="28">
        <v>0.79300000000000004</v>
      </c>
      <c r="J92" s="28">
        <v>1.228576396666667</v>
      </c>
      <c r="K92" s="29">
        <v>1.036</v>
      </c>
      <c r="L92" s="28">
        <v>1.6050506266666669</v>
      </c>
      <c r="M92" s="130" t="s">
        <v>128</v>
      </c>
      <c r="N92" s="35"/>
      <c r="O92" s="135">
        <v>2500</v>
      </c>
      <c r="P92" s="135">
        <v>1</v>
      </c>
      <c r="Q92" s="33">
        <f t="shared" si="10"/>
        <v>844.35578333333331</v>
      </c>
      <c r="R92" s="33">
        <f t="shared" si="11"/>
        <v>1475.686025</v>
      </c>
      <c r="S92" s="33">
        <f t="shared" si="12"/>
        <v>2223.2120166666659</v>
      </c>
      <c r="T92" s="33">
        <f t="shared" si="13"/>
        <v>3071.4409916666673</v>
      </c>
      <c r="U92" s="33">
        <f t="shared" si="14"/>
        <v>4012.6265666666673</v>
      </c>
      <c r="V92" s="33">
        <f t="shared" si="15"/>
        <v>844.35578333333331</v>
      </c>
      <c r="W92" s="33">
        <f t="shared" si="16"/>
        <v>1475.686025</v>
      </c>
      <c r="X92" s="33">
        <f t="shared" si="17"/>
        <v>2223.2120166666659</v>
      </c>
      <c r="Y92" s="33">
        <f t="shared" si="18"/>
        <v>3071.4409916666673</v>
      </c>
      <c r="Z92" s="33">
        <f t="shared" si="19"/>
        <v>4012.6265666666673</v>
      </c>
    </row>
    <row r="93" spans="1:26" hidden="1" x14ac:dyDescent="0.25">
      <c r="A93" s="85" t="s">
        <v>52</v>
      </c>
      <c r="B93" s="77" t="s">
        <v>199</v>
      </c>
      <c r="C93" s="28">
        <v>0.18430681403256532</v>
      </c>
      <c r="D93" s="28">
        <v>0.28554224648832599</v>
      </c>
      <c r="E93" s="28">
        <v>0.46475194136522141</v>
      </c>
      <c r="F93" s="28">
        <v>0.72002933854517226</v>
      </c>
      <c r="G93" s="28">
        <v>0.64962248187758487</v>
      </c>
      <c r="H93" s="28">
        <v>1.0064449533150317</v>
      </c>
      <c r="I93" s="28">
        <v>0.93269311968610946</v>
      </c>
      <c r="J93" s="28">
        <v>1.44499968749023</v>
      </c>
      <c r="K93" s="28">
        <v>1.2235395364888055</v>
      </c>
      <c r="L93" s="28">
        <v>1.8956012546262551</v>
      </c>
      <c r="M93" s="131" t="s">
        <v>198</v>
      </c>
      <c r="N93" s="35"/>
      <c r="O93" s="135">
        <v>2500</v>
      </c>
      <c r="P93" s="135">
        <v>1</v>
      </c>
      <c r="Q93" s="33">
        <f t="shared" si="10"/>
        <v>713.85561622081502</v>
      </c>
      <c r="R93" s="33">
        <f t="shared" si="11"/>
        <v>1800.0733463629306</v>
      </c>
      <c r="S93" s="33">
        <f t="shared" si="12"/>
        <v>2516.1123832875792</v>
      </c>
      <c r="T93" s="33">
        <f t="shared" si="13"/>
        <v>3612.4992187255748</v>
      </c>
      <c r="U93" s="33">
        <f t="shared" si="14"/>
        <v>4739.0031365656378</v>
      </c>
      <c r="V93" s="33">
        <f t="shared" si="15"/>
        <v>713.85561622081502</v>
      </c>
      <c r="W93" s="33">
        <f t="shared" si="16"/>
        <v>1800.0733463629306</v>
      </c>
      <c r="X93" s="33">
        <f t="shared" si="17"/>
        <v>2516.1123832875792</v>
      </c>
      <c r="Y93" s="33">
        <f t="shared" si="18"/>
        <v>3612.4992187255748</v>
      </c>
      <c r="Z93" s="33">
        <f t="shared" si="19"/>
        <v>4739.0031365656378</v>
      </c>
    </row>
    <row r="94" spans="1:26" hidden="1" x14ac:dyDescent="0.25">
      <c r="A94" s="84" t="s">
        <v>194</v>
      </c>
      <c r="B94" s="77" t="s">
        <v>199</v>
      </c>
      <c r="C94" s="28">
        <v>0.21841359949394204</v>
      </c>
      <c r="D94" s="28">
        <v>0.33838309337864286</v>
      </c>
      <c r="E94" s="28">
        <v>0.51973169525491636</v>
      </c>
      <c r="F94" s="28">
        <v>0.80520818838555264</v>
      </c>
      <c r="G94" s="28">
        <v>0.75996873280127686</v>
      </c>
      <c r="H94" s="28">
        <v>1.1774018251252529</v>
      </c>
      <c r="I94" s="28">
        <v>1.0033584896898251</v>
      </c>
      <c r="J94" s="28">
        <v>1.5544798963783533</v>
      </c>
      <c r="K94" s="28">
        <v>1.3062334225151486</v>
      </c>
      <c r="L94" s="28">
        <v>2.0237169627228608</v>
      </c>
      <c r="M94" s="131" t="s">
        <v>198</v>
      </c>
      <c r="N94" s="35"/>
      <c r="O94" s="135">
        <v>2500</v>
      </c>
      <c r="P94" s="135">
        <v>1</v>
      </c>
      <c r="Q94" s="33">
        <f t="shared" si="10"/>
        <v>845.95773344660711</v>
      </c>
      <c r="R94" s="33">
        <f t="shared" si="11"/>
        <v>2013.0204709638815</v>
      </c>
      <c r="S94" s="33">
        <f t="shared" si="12"/>
        <v>2943.5045628131325</v>
      </c>
      <c r="T94" s="33">
        <f t="shared" si="13"/>
        <v>3886.1997409458831</v>
      </c>
      <c r="U94" s="33">
        <f t="shared" si="14"/>
        <v>5059.2924068071525</v>
      </c>
      <c r="V94" s="33">
        <f t="shared" si="15"/>
        <v>845.95773344660711</v>
      </c>
      <c r="W94" s="33">
        <f t="shared" si="16"/>
        <v>2013.0204709638815</v>
      </c>
      <c r="X94" s="33">
        <f t="shared" si="17"/>
        <v>2943.5045628131325</v>
      </c>
      <c r="Y94" s="33">
        <f t="shared" si="18"/>
        <v>3886.1997409458831</v>
      </c>
      <c r="Z94" s="33">
        <f t="shared" si="19"/>
        <v>5059.2924068071525</v>
      </c>
    </row>
    <row r="95" spans="1:26" hidden="1" x14ac:dyDescent="0.25">
      <c r="A95" s="2" t="s">
        <v>53</v>
      </c>
      <c r="B95" s="79"/>
      <c r="C95" s="29"/>
      <c r="D95" s="28"/>
      <c r="E95" s="28"/>
      <c r="F95" s="28"/>
      <c r="G95" s="28"/>
      <c r="H95" s="28"/>
      <c r="I95" s="29"/>
      <c r="J95" s="28"/>
      <c r="K95" s="29"/>
      <c r="L95" s="29"/>
      <c r="M95" s="132"/>
      <c r="N95" s="35"/>
      <c r="O95" s="135">
        <v>2500</v>
      </c>
      <c r="P95" s="135">
        <v>1</v>
      </c>
      <c r="Q95" s="33">
        <f t="shared" si="10"/>
        <v>0</v>
      </c>
      <c r="R95" s="33">
        <f t="shared" si="11"/>
        <v>0</v>
      </c>
      <c r="S95" s="33">
        <f t="shared" si="12"/>
        <v>0</v>
      </c>
      <c r="T95" s="33">
        <f t="shared" si="13"/>
        <v>0</v>
      </c>
      <c r="U95" s="33">
        <f t="shared" si="14"/>
        <v>0</v>
      </c>
      <c r="V95" s="33">
        <f t="shared" si="15"/>
        <v>0</v>
      </c>
      <c r="W95" s="33">
        <f t="shared" si="16"/>
        <v>0</v>
      </c>
      <c r="X95" s="33">
        <f t="shared" si="17"/>
        <v>0</v>
      </c>
      <c r="Y95" s="33">
        <f t="shared" si="18"/>
        <v>0</v>
      </c>
      <c r="Z95" s="33">
        <f t="shared" si="19"/>
        <v>0</v>
      </c>
    </row>
    <row r="96" spans="1:26" hidden="1" x14ac:dyDescent="0.25">
      <c r="A96" s="84" t="s">
        <v>54</v>
      </c>
      <c r="B96" s="77" t="s">
        <v>199</v>
      </c>
      <c r="C96" s="28">
        <v>0.1588783245860548</v>
      </c>
      <c r="D96" s="28">
        <v>0.35046440026022546</v>
      </c>
      <c r="E96" s="28">
        <v>0.33067416033692204</v>
      </c>
      <c r="F96" s="28">
        <v>0.72942310781520503</v>
      </c>
      <c r="G96" s="28">
        <v>0.52057743788682687</v>
      </c>
      <c r="H96" s="28">
        <v>1.1483244176532885</v>
      </c>
      <c r="I96" s="28">
        <v>0.61808392924993483</v>
      </c>
      <c r="J96" s="28">
        <v>1.3634107367347896</v>
      </c>
      <c r="K96" s="28">
        <v>0.84738961741264107</v>
      </c>
      <c r="L96" s="28">
        <v>1.8692285107299644</v>
      </c>
      <c r="M96" s="131" t="s">
        <v>198</v>
      </c>
      <c r="N96" s="35"/>
      <c r="O96" s="135">
        <v>2500</v>
      </c>
      <c r="P96" s="135">
        <v>1</v>
      </c>
      <c r="Q96" s="33">
        <f t="shared" si="10"/>
        <v>876.16100065056366</v>
      </c>
      <c r="R96" s="33">
        <f t="shared" si="11"/>
        <v>1823.5577695380125</v>
      </c>
      <c r="S96" s="33">
        <f t="shared" si="12"/>
        <v>2870.8110441332215</v>
      </c>
      <c r="T96" s="33">
        <f t="shared" si="13"/>
        <v>3408.5268418369742</v>
      </c>
      <c r="U96" s="33">
        <f t="shared" si="14"/>
        <v>4673.0712768249114</v>
      </c>
      <c r="V96" s="33">
        <f t="shared" si="15"/>
        <v>876.16100065056366</v>
      </c>
      <c r="W96" s="33">
        <f t="shared" si="16"/>
        <v>1823.5577695380125</v>
      </c>
      <c r="X96" s="33">
        <f t="shared" si="17"/>
        <v>2870.8110441332215</v>
      </c>
      <c r="Y96" s="33">
        <f t="shared" si="18"/>
        <v>3408.5268418369742</v>
      </c>
      <c r="Z96" s="33">
        <f t="shared" si="19"/>
        <v>4673.0712768249114</v>
      </c>
    </row>
    <row r="97" spans="1:26" x14ac:dyDescent="0.25">
      <c r="A97" s="84" t="s">
        <v>195</v>
      </c>
      <c r="B97" s="77" t="s">
        <v>199</v>
      </c>
      <c r="C97" s="28">
        <v>0.33402828749429769</v>
      </c>
      <c r="D97" s="28">
        <v>0.34624258854033912</v>
      </c>
      <c r="E97" s="28">
        <v>0.61179325145087948</v>
      </c>
      <c r="F97" s="28">
        <v>0.63416449134559993</v>
      </c>
      <c r="G97" s="28">
        <v>1.2507329958097388</v>
      </c>
      <c r="H97" s="28">
        <v>1.2964681323565146</v>
      </c>
      <c r="I97" s="28">
        <v>2.7761715625814669</v>
      </c>
      <c r="J97" s="28">
        <v>2.8776869027198626</v>
      </c>
      <c r="K97" s="28">
        <v>3.2847516435067581</v>
      </c>
      <c r="L97" s="28">
        <v>3.4048640619376549</v>
      </c>
      <c r="M97" s="131" t="s">
        <v>198</v>
      </c>
      <c r="N97" s="35"/>
      <c r="O97" s="135">
        <v>2500</v>
      </c>
      <c r="P97" s="135">
        <v>1</v>
      </c>
      <c r="Q97" s="33">
        <f t="shared" si="10"/>
        <v>865.60647135084776</v>
      </c>
      <c r="R97" s="33">
        <f t="shared" si="11"/>
        <v>1585.4112283639997</v>
      </c>
      <c r="S97" s="33">
        <f t="shared" si="12"/>
        <v>3241.1703308912865</v>
      </c>
      <c r="T97" s="33">
        <f t="shared" si="13"/>
        <v>7194.2172567996568</v>
      </c>
      <c r="U97" s="33">
        <f t="shared" si="14"/>
        <v>8512.1601548441377</v>
      </c>
      <c r="V97" s="33">
        <f t="shared" si="15"/>
        <v>865.60647135084776</v>
      </c>
      <c r="W97" s="33">
        <f t="shared" si="16"/>
        <v>1585.4112283639997</v>
      </c>
      <c r="X97" s="33">
        <f t="shared" si="17"/>
        <v>3241.1703308912865</v>
      </c>
      <c r="Y97" s="33">
        <f t="shared" si="18"/>
        <v>7194.2172567996568</v>
      </c>
      <c r="Z97" s="33">
        <f t="shared" si="19"/>
        <v>8512.1601548441377</v>
      </c>
    </row>
    <row r="98" spans="1:26" hidden="1" x14ac:dyDescent="0.25">
      <c r="A98" s="2" t="s">
        <v>55</v>
      </c>
      <c r="B98" s="79"/>
      <c r="C98" s="28"/>
      <c r="D98" s="28"/>
      <c r="E98" s="28"/>
      <c r="F98" s="28"/>
      <c r="G98" s="28"/>
      <c r="H98" s="29"/>
      <c r="I98" s="29"/>
      <c r="J98" s="29"/>
      <c r="K98" s="29"/>
      <c r="L98" s="28"/>
      <c r="M98" s="132"/>
      <c r="N98" s="35"/>
      <c r="O98" s="135">
        <v>2500</v>
      </c>
      <c r="P98" s="135">
        <v>1</v>
      </c>
      <c r="Q98" s="33">
        <f t="shared" si="10"/>
        <v>0</v>
      </c>
      <c r="R98" s="33">
        <f t="shared" si="11"/>
        <v>0</v>
      </c>
      <c r="S98" s="33">
        <f t="shared" si="12"/>
        <v>0</v>
      </c>
      <c r="T98" s="33">
        <f t="shared" si="13"/>
        <v>0</v>
      </c>
      <c r="U98" s="33">
        <f t="shared" si="14"/>
        <v>0</v>
      </c>
      <c r="V98" s="33">
        <f t="shared" si="15"/>
        <v>0</v>
      </c>
      <c r="W98" s="33">
        <f t="shared" si="16"/>
        <v>0</v>
      </c>
      <c r="X98" s="33">
        <f t="shared" si="17"/>
        <v>0</v>
      </c>
      <c r="Y98" s="33">
        <f t="shared" si="18"/>
        <v>0</v>
      </c>
      <c r="Z98" s="33">
        <f t="shared" si="19"/>
        <v>0</v>
      </c>
    </row>
    <row r="99" spans="1:26" hidden="1" x14ac:dyDescent="0.25">
      <c r="A99" s="84" t="s">
        <v>165</v>
      </c>
      <c r="B99" s="77" t="s">
        <v>199</v>
      </c>
      <c r="C99" s="28">
        <v>1.7875108881303933E-2</v>
      </c>
      <c r="D99" s="28">
        <v>4.8828839094095237E-2</v>
      </c>
      <c r="E99" s="28">
        <v>2.2343886101629917E-2</v>
      </c>
      <c r="F99" s="28">
        <v>6.1036048867619055E-2</v>
      </c>
      <c r="G99" s="28">
        <v>4.6570343702280768E-2</v>
      </c>
      <c r="H99" s="28">
        <v>0.12721465554673028</v>
      </c>
      <c r="I99" s="28">
        <v>5.4332067652660895E-2</v>
      </c>
      <c r="J99" s="28">
        <v>0.148417098137852</v>
      </c>
      <c r="K99" s="28">
        <v>6.2093791603041029E-2</v>
      </c>
      <c r="L99" s="28">
        <v>0.16961954072897373</v>
      </c>
      <c r="M99" s="131" t="s">
        <v>198</v>
      </c>
      <c r="N99" s="35"/>
      <c r="O99" s="135">
        <v>2500</v>
      </c>
      <c r="P99" s="135">
        <v>1</v>
      </c>
      <c r="Q99" s="33">
        <f t="shared" si="10"/>
        <v>122.07209773523809</v>
      </c>
      <c r="R99" s="33">
        <f t="shared" si="11"/>
        <v>152.59012216904765</v>
      </c>
      <c r="S99" s="33">
        <f t="shared" si="12"/>
        <v>318.03663886682568</v>
      </c>
      <c r="T99" s="33">
        <f t="shared" si="13"/>
        <v>371.04274534463002</v>
      </c>
      <c r="U99" s="33">
        <f t="shared" si="14"/>
        <v>424.0488518224343</v>
      </c>
      <c r="V99" s="33">
        <f t="shared" si="15"/>
        <v>122.07209773523809</v>
      </c>
      <c r="W99" s="33">
        <f t="shared" si="16"/>
        <v>152.59012216904765</v>
      </c>
      <c r="X99" s="33">
        <f t="shared" si="17"/>
        <v>318.03663886682568</v>
      </c>
      <c r="Y99" s="33">
        <f t="shared" si="18"/>
        <v>371.04274534463002</v>
      </c>
      <c r="Z99" s="33">
        <f t="shared" si="19"/>
        <v>424.0488518224343</v>
      </c>
    </row>
    <row r="100" spans="1:26" hidden="1" x14ac:dyDescent="0.25">
      <c r="A100" s="31" t="s">
        <v>57</v>
      </c>
      <c r="B100" s="88" t="s">
        <v>203</v>
      </c>
      <c r="C100" s="28">
        <v>3.5333333333333328E-2</v>
      </c>
      <c r="D100" s="28">
        <v>9.7572823333333336E-2</v>
      </c>
      <c r="E100" s="28">
        <v>4.4166666666666667E-2</v>
      </c>
      <c r="F100" s="28">
        <v>0.12196602916666668</v>
      </c>
      <c r="G100" s="28">
        <v>5.2999999999999999E-2</v>
      </c>
      <c r="H100" s="28">
        <v>0.146359235</v>
      </c>
      <c r="I100" s="28">
        <v>6.183333333333333E-2</v>
      </c>
      <c r="J100" s="28">
        <v>0.17075244083333332</v>
      </c>
      <c r="K100" s="29">
        <v>7.0666666666666655E-2</v>
      </c>
      <c r="L100" s="28">
        <v>0.19514564666666667</v>
      </c>
      <c r="M100" s="130" t="s">
        <v>128</v>
      </c>
      <c r="N100" s="35" t="s">
        <v>129</v>
      </c>
      <c r="O100" s="135">
        <v>2500</v>
      </c>
      <c r="P100" s="135">
        <v>1</v>
      </c>
      <c r="Q100" s="33">
        <f t="shared" si="10"/>
        <v>243.93205833333334</v>
      </c>
      <c r="R100" s="33">
        <f t="shared" si="11"/>
        <v>304.9150729166667</v>
      </c>
      <c r="S100" s="33">
        <f t="shared" si="12"/>
        <v>365.89808750000003</v>
      </c>
      <c r="T100" s="33">
        <f t="shared" si="13"/>
        <v>426.8811020833333</v>
      </c>
      <c r="U100" s="33">
        <f t="shared" si="14"/>
        <v>487.86411666666669</v>
      </c>
      <c r="V100" s="33">
        <f t="shared" si="15"/>
        <v>243.93205833333334</v>
      </c>
      <c r="W100" s="33">
        <f t="shared" si="16"/>
        <v>304.9150729166667</v>
      </c>
      <c r="X100" s="33">
        <f t="shared" si="17"/>
        <v>365.89808750000003</v>
      </c>
      <c r="Y100" s="33">
        <f t="shared" si="18"/>
        <v>426.8811020833333</v>
      </c>
      <c r="Z100" s="33">
        <f t="shared" si="19"/>
        <v>487.86411666666669</v>
      </c>
    </row>
    <row r="101" spans="1:26" hidden="1" x14ac:dyDescent="0.25">
      <c r="A101" s="85" t="s">
        <v>57</v>
      </c>
      <c r="B101" s="77" t="s">
        <v>199</v>
      </c>
      <c r="C101" s="28">
        <v>1.4848292609940923E-2</v>
      </c>
      <c r="D101" s="28">
        <v>4.1003485800888813E-2</v>
      </c>
      <c r="E101" s="28">
        <v>1.8560365762426152E-2</v>
      </c>
      <c r="F101" s="28">
        <v>5.1254357251111014E-2</v>
      </c>
      <c r="G101" s="28">
        <v>3.5327485281266127E-2</v>
      </c>
      <c r="H101" s="28">
        <v>9.7556673966789992E-2</v>
      </c>
      <c r="I101" s="28">
        <v>4.1215399494810484E-2</v>
      </c>
      <c r="J101" s="28">
        <v>0.11381611962792167</v>
      </c>
      <c r="K101" s="28">
        <v>4.7103313708354841E-2</v>
      </c>
      <c r="L101" s="28">
        <v>0.13007556528905334</v>
      </c>
      <c r="M101" s="131" t="s">
        <v>198</v>
      </c>
      <c r="N101" s="35"/>
      <c r="O101" s="135">
        <v>2500</v>
      </c>
      <c r="P101" s="135">
        <v>1</v>
      </c>
      <c r="Q101" s="33">
        <f t="shared" si="10"/>
        <v>102.50871450222203</v>
      </c>
      <c r="R101" s="33">
        <f t="shared" si="11"/>
        <v>128.13589312777754</v>
      </c>
      <c r="S101" s="33">
        <f t="shared" si="12"/>
        <v>243.89168491697498</v>
      </c>
      <c r="T101" s="33">
        <f t="shared" si="13"/>
        <v>284.54029906980418</v>
      </c>
      <c r="U101" s="33">
        <f t="shared" si="14"/>
        <v>325.18891322263335</v>
      </c>
      <c r="V101" s="33">
        <f t="shared" si="15"/>
        <v>102.50871450222203</v>
      </c>
      <c r="W101" s="33">
        <f t="shared" si="16"/>
        <v>128.13589312777754</v>
      </c>
      <c r="X101" s="33">
        <f t="shared" si="17"/>
        <v>243.89168491697498</v>
      </c>
      <c r="Y101" s="33">
        <f t="shared" si="18"/>
        <v>284.54029906980418</v>
      </c>
      <c r="Z101" s="33">
        <f t="shared" si="19"/>
        <v>325.18891322263335</v>
      </c>
    </row>
    <row r="102" spans="1:26" hidden="1" x14ac:dyDescent="0.25">
      <c r="A102" s="84" t="s">
        <v>58</v>
      </c>
      <c r="B102" s="77" t="s">
        <v>199</v>
      </c>
      <c r="C102" s="28">
        <v>1.4033784511862425E-2</v>
      </c>
      <c r="D102" s="28">
        <v>4.3569848746908557E-2</v>
      </c>
      <c r="E102" s="28">
        <v>1.754223063982803E-2</v>
      </c>
      <c r="F102" s="28">
        <v>5.4462310933635683E-2</v>
      </c>
      <c r="G102" s="28">
        <v>2.1050676767793638E-2</v>
      </c>
      <c r="H102" s="28">
        <v>6.5354773120362836E-2</v>
      </c>
      <c r="I102" s="28">
        <v>3.3104626383453767E-2</v>
      </c>
      <c r="J102" s="28">
        <v>0.1027779472551259</v>
      </c>
      <c r="K102" s="28">
        <v>3.7833858723947164E-2</v>
      </c>
      <c r="L102" s="28">
        <v>0.11746051114871532</v>
      </c>
      <c r="M102" s="131" t="s">
        <v>198</v>
      </c>
      <c r="N102" s="35"/>
      <c r="O102" s="135">
        <v>2500</v>
      </c>
      <c r="P102" s="135">
        <v>1</v>
      </c>
      <c r="Q102" s="33">
        <f t="shared" si="10"/>
        <v>108.9246218672714</v>
      </c>
      <c r="R102" s="33">
        <f t="shared" si="11"/>
        <v>136.15577733408921</v>
      </c>
      <c r="S102" s="33">
        <f t="shared" si="12"/>
        <v>163.38693280090709</v>
      </c>
      <c r="T102" s="33">
        <f t="shared" si="13"/>
        <v>256.94486813781475</v>
      </c>
      <c r="U102" s="33">
        <f t="shared" si="14"/>
        <v>293.6512778717883</v>
      </c>
      <c r="V102" s="33">
        <f t="shared" si="15"/>
        <v>108.9246218672714</v>
      </c>
      <c r="W102" s="33">
        <f t="shared" si="16"/>
        <v>136.15577733408921</v>
      </c>
      <c r="X102" s="33">
        <f t="shared" si="17"/>
        <v>163.38693280090709</v>
      </c>
      <c r="Y102" s="33">
        <f t="shared" si="18"/>
        <v>256.94486813781475</v>
      </c>
      <c r="Z102" s="33">
        <f t="shared" si="19"/>
        <v>293.6512778717883</v>
      </c>
    </row>
    <row r="103" spans="1:26" hidden="1" x14ac:dyDescent="0.25">
      <c r="A103" s="31" t="s">
        <v>59</v>
      </c>
      <c r="B103" s="88" t="s">
        <v>203</v>
      </c>
      <c r="C103" s="28">
        <v>3.7999999999999999E-2</v>
      </c>
      <c r="D103" s="28">
        <v>7.9411640000000006E-2</v>
      </c>
      <c r="E103" s="28">
        <v>4.7500000000000001E-2</v>
      </c>
      <c r="F103" s="28">
        <v>9.9264549999999993E-2</v>
      </c>
      <c r="G103" s="28">
        <v>5.7000000000000002E-2</v>
      </c>
      <c r="H103" s="28">
        <v>0.11911745999999999</v>
      </c>
      <c r="I103" s="28">
        <v>6.6500000000000004E-2</v>
      </c>
      <c r="J103" s="28">
        <v>0.13897037000000001</v>
      </c>
      <c r="K103" s="29">
        <v>7.5999999999999998E-2</v>
      </c>
      <c r="L103" s="28">
        <v>0.15882328000000001</v>
      </c>
      <c r="M103" s="130" t="s">
        <v>128</v>
      </c>
      <c r="N103" s="35" t="s">
        <v>129</v>
      </c>
      <c r="O103" s="135">
        <v>2500</v>
      </c>
      <c r="P103" s="135">
        <v>1</v>
      </c>
      <c r="Q103" s="33">
        <f t="shared" si="10"/>
        <v>198.52910000000003</v>
      </c>
      <c r="R103" s="33">
        <f t="shared" si="11"/>
        <v>248.16137499999999</v>
      </c>
      <c r="S103" s="33">
        <f t="shared" si="12"/>
        <v>297.79365000000001</v>
      </c>
      <c r="T103" s="33">
        <f t="shared" si="13"/>
        <v>347.42592500000001</v>
      </c>
      <c r="U103" s="33">
        <f t="shared" si="14"/>
        <v>397.05820000000006</v>
      </c>
      <c r="V103" s="33">
        <f t="shared" si="15"/>
        <v>198.52910000000003</v>
      </c>
      <c r="W103" s="33">
        <f t="shared" si="16"/>
        <v>248.16137499999999</v>
      </c>
      <c r="X103" s="33">
        <f t="shared" si="17"/>
        <v>297.79365000000001</v>
      </c>
      <c r="Y103" s="33">
        <f t="shared" si="18"/>
        <v>347.42592500000001</v>
      </c>
      <c r="Z103" s="33">
        <f t="shared" si="19"/>
        <v>397.05820000000006</v>
      </c>
    </row>
    <row r="104" spans="1:26" hidden="1" x14ac:dyDescent="0.25">
      <c r="A104" s="85" t="s">
        <v>59</v>
      </c>
      <c r="B104" s="77" t="s">
        <v>199</v>
      </c>
      <c r="C104" s="28">
        <v>2.6624296652618271E-2</v>
      </c>
      <c r="D104" s="28">
        <v>5.5638922658708602E-2</v>
      </c>
      <c r="E104" s="28">
        <v>3.3280370815772835E-2</v>
      </c>
      <c r="F104" s="28">
        <v>6.9548653323385751E-2</v>
      </c>
      <c r="G104" s="28">
        <v>8.5655255515471082E-2</v>
      </c>
      <c r="H104" s="28">
        <v>0.17900063987112114</v>
      </c>
      <c r="I104" s="28">
        <v>9.9931131434716255E-2</v>
      </c>
      <c r="J104" s="28">
        <v>0.20883407984964134</v>
      </c>
      <c r="K104" s="28">
        <v>0.11420700735396144</v>
      </c>
      <c r="L104" s="28">
        <v>0.23866751982816153</v>
      </c>
      <c r="M104" s="131" t="s">
        <v>198</v>
      </c>
      <c r="N104" s="35"/>
      <c r="O104" s="135">
        <v>2500</v>
      </c>
      <c r="P104" s="135">
        <v>1</v>
      </c>
      <c r="Q104" s="33">
        <f t="shared" si="10"/>
        <v>139.0973066467715</v>
      </c>
      <c r="R104" s="33">
        <f t="shared" si="11"/>
        <v>173.87163330846437</v>
      </c>
      <c r="S104" s="33">
        <f t="shared" si="12"/>
        <v>447.50159967780286</v>
      </c>
      <c r="T104" s="33">
        <f t="shared" si="13"/>
        <v>522.08519962410332</v>
      </c>
      <c r="U104" s="33">
        <f t="shared" si="14"/>
        <v>596.66879957040385</v>
      </c>
      <c r="V104" s="33">
        <f t="shared" si="15"/>
        <v>139.0973066467715</v>
      </c>
      <c r="W104" s="33">
        <f t="shared" si="16"/>
        <v>173.87163330846437</v>
      </c>
      <c r="X104" s="33">
        <f t="shared" si="17"/>
        <v>447.50159967780286</v>
      </c>
      <c r="Y104" s="33">
        <f t="shared" si="18"/>
        <v>522.08519962410332</v>
      </c>
      <c r="Z104" s="33">
        <f t="shared" si="19"/>
        <v>596.66879957040385</v>
      </c>
    </row>
    <row r="105" spans="1:26" hidden="1" x14ac:dyDescent="0.25">
      <c r="A105" s="84" t="s">
        <v>60</v>
      </c>
      <c r="B105" s="77" t="s">
        <v>199</v>
      </c>
      <c r="C105" s="28">
        <v>3.0960646267520889E-2</v>
      </c>
      <c r="D105" s="28">
        <v>6.8552185747233832E-2</v>
      </c>
      <c r="E105" s="28">
        <v>5.5535418063081127E-2</v>
      </c>
      <c r="F105" s="28">
        <v>0.12296494917176243</v>
      </c>
      <c r="G105" s="28">
        <v>6.6642501675697352E-2</v>
      </c>
      <c r="H105" s="28">
        <v>0.14755793900611491</v>
      </c>
      <c r="I105" s="28">
        <v>0.10425333573826619</v>
      </c>
      <c r="J105" s="28">
        <v>0.23083478214715636</v>
      </c>
      <c r="K105" s="28">
        <v>0.11914666941516135</v>
      </c>
      <c r="L105" s="28">
        <v>0.26381117959675016</v>
      </c>
      <c r="M105" s="131" t="s">
        <v>198</v>
      </c>
      <c r="N105" s="35"/>
      <c r="O105" s="135">
        <v>2500</v>
      </c>
      <c r="P105" s="135">
        <v>1</v>
      </c>
      <c r="Q105" s="33">
        <f t="shared" si="10"/>
        <v>171.38046436808457</v>
      </c>
      <c r="R105" s="33">
        <f t="shared" si="11"/>
        <v>307.41237292940605</v>
      </c>
      <c r="S105" s="33">
        <f t="shared" si="12"/>
        <v>368.89484751528727</v>
      </c>
      <c r="T105" s="33">
        <f t="shared" si="13"/>
        <v>577.08695536789094</v>
      </c>
      <c r="U105" s="33">
        <f t="shared" si="14"/>
        <v>659.52794899187541</v>
      </c>
      <c r="V105" s="33">
        <f t="shared" si="15"/>
        <v>171.38046436808457</v>
      </c>
      <c r="W105" s="33">
        <f t="shared" si="16"/>
        <v>307.41237292940605</v>
      </c>
      <c r="X105" s="33">
        <f t="shared" si="17"/>
        <v>368.89484751528727</v>
      </c>
      <c r="Y105" s="33">
        <f t="shared" si="18"/>
        <v>577.08695536789094</v>
      </c>
      <c r="Z105" s="33">
        <f t="shared" si="19"/>
        <v>659.52794899187541</v>
      </c>
    </row>
    <row r="106" spans="1:26" hidden="1" x14ac:dyDescent="0.25">
      <c r="A106" s="31" t="s">
        <v>61</v>
      </c>
      <c r="B106" s="88" t="s">
        <v>203</v>
      </c>
      <c r="C106" s="28">
        <v>3.8399999999999997E-2</v>
      </c>
      <c r="D106" s="28">
        <v>0.10572883199999998</v>
      </c>
      <c r="E106" s="28">
        <v>4.8000000000000001E-2</v>
      </c>
      <c r="F106" s="28">
        <v>0.13216104000000001</v>
      </c>
      <c r="G106" s="28">
        <v>5.7599999999999991E-2</v>
      </c>
      <c r="H106" s="28">
        <v>0.15859324799999999</v>
      </c>
      <c r="I106" s="28">
        <v>6.720000000000001E-2</v>
      </c>
      <c r="J106" s="28">
        <v>0.18502545600000006</v>
      </c>
      <c r="K106" s="29">
        <v>7.6799999999999993E-2</v>
      </c>
      <c r="L106" s="28">
        <v>0.21145766399999996</v>
      </c>
      <c r="M106" s="130" t="s">
        <v>128</v>
      </c>
      <c r="N106" s="35" t="s">
        <v>129</v>
      </c>
      <c r="O106" s="135">
        <v>2500</v>
      </c>
      <c r="P106" s="135">
        <v>1</v>
      </c>
      <c r="Q106" s="33">
        <f t="shared" si="10"/>
        <v>264.32207999999997</v>
      </c>
      <c r="R106" s="33">
        <f t="shared" si="11"/>
        <v>330.40260000000001</v>
      </c>
      <c r="S106" s="33">
        <f t="shared" si="12"/>
        <v>396.48311999999999</v>
      </c>
      <c r="T106" s="33">
        <f t="shared" si="13"/>
        <v>462.56364000000013</v>
      </c>
      <c r="U106" s="33">
        <f t="shared" si="14"/>
        <v>528.64415999999994</v>
      </c>
      <c r="V106" s="33">
        <f t="shared" si="15"/>
        <v>264.32207999999997</v>
      </c>
      <c r="W106" s="33">
        <f t="shared" si="16"/>
        <v>330.40260000000001</v>
      </c>
      <c r="X106" s="33">
        <f t="shared" si="17"/>
        <v>396.48311999999999</v>
      </c>
      <c r="Y106" s="33">
        <f t="shared" si="18"/>
        <v>462.56364000000013</v>
      </c>
      <c r="Z106" s="33">
        <f t="shared" si="19"/>
        <v>528.64415999999994</v>
      </c>
    </row>
    <row r="107" spans="1:26" hidden="1" x14ac:dyDescent="0.25">
      <c r="A107" s="85" t="s">
        <v>61</v>
      </c>
      <c r="B107" s="77" t="s">
        <v>199</v>
      </c>
      <c r="C107" s="28">
        <v>1.9354648683058993E-2</v>
      </c>
      <c r="D107" s="28">
        <v>5.3290218724743897E-2</v>
      </c>
      <c r="E107" s="28">
        <v>2.4193310853823743E-2</v>
      </c>
      <c r="F107" s="28">
        <v>6.6612773405929887E-2</v>
      </c>
      <c r="G107" s="28">
        <v>5.3727881844045491E-2</v>
      </c>
      <c r="H107" s="28">
        <v>0.14793193211471187</v>
      </c>
      <c r="I107" s="28">
        <v>6.2682528818053071E-2</v>
      </c>
      <c r="J107" s="28">
        <v>0.17258725413383053</v>
      </c>
      <c r="K107" s="28">
        <v>7.1637175792060651E-2</v>
      </c>
      <c r="L107" s="28">
        <v>0.19724257615294916</v>
      </c>
      <c r="M107" s="131" t="s">
        <v>198</v>
      </c>
      <c r="N107" s="35"/>
      <c r="O107" s="135">
        <v>2500</v>
      </c>
      <c r="P107" s="135">
        <v>1</v>
      </c>
      <c r="Q107" s="33">
        <f t="shared" si="10"/>
        <v>133.22554681185974</v>
      </c>
      <c r="R107" s="33">
        <f t="shared" si="11"/>
        <v>166.53193351482471</v>
      </c>
      <c r="S107" s="33">
        <f t="shared" si="12"/>
        <v>369.82983028677967</v>
      </c>
      <c r="T107" s="33">
        <f t="shared" si="13"/>
        <v>431.46813533457629</v>
      </c>
      <c r="U107" s="33">
        <f t="shared" si="14"/>
        <v>493.10644038237291</v>
      </c>
      <c r="V107" s="33">
        <f t="shared" si="15"/>
        <v>133.22554681185974</v>
      </c>
      <c r="W107" s="33">
        <f t="shared" si="16"/>
        <v>166.53193351482471</v>
      </c>
      <c r="X107" s="33">
        <f t="shared" si="17"/>
        <v>369.82983028677967</v>
      </c>
      <c r="Y107" s="33">
        <f t="shared" si="18"/>
        <v>431.46813533457629</v>
      </c>
      <c r="Z107" s="33">
        <f t="shared" si="19"/>
        <v>493.10644038237291</v>
      </c>
    </row>
    <row r="108" spans="1:26" x14ac:dyDescent="0.25">
      <c r="A108" s="30" t="s">
        <v>62</v>
      </c>
      <c r="B108" s="80" t="s">
        <v>227</v>
      </c>
      <c r="C108" s="28"/>
      <c r="D108" s="28">
        <v>2.4741729460580914E-2</v>
      </c>
      <c r="E108" s="28"/>
      <c r="F108" s="28">
        <v>4.2108132132132131E-2</v>
      </c>
      <c r="G108" s="28"/>
      <c r="H108" s="28">
        <v>9.8011439904799699E-2</v>
      </c>
      <c r="I108" s="28"/>
      <c r="J108" s="28">
        <v>0.2209103448275862</v>
      </c>
      <c r="K108" s="28"/>
      <c r="L108" s="28">
        <v>0.4726752487309645</v>
      </c>
      <c r="M108" s="24" t="s">
        <v>81</v>
      </c>
      <c r="N108" s="35"/>
      <c r="O108" s="135">
        <v>2500</v>
      </c>
      <c r="P108" s="135">
        <v>1</v>
      </c>
      <c r="Q108" s="33">
        <f t="shared" si="10"/>
        <v>61.854323651452283</v>
      </c>
      <c r="R108" s="33">
        <f t="shared" si="11"/>
        <v>105.27033033033032</v>
      </c>
      <c r="S108" s="33">
        <f t="shared" si="12"/>
        <v>245.02859976199926</v>
      </c>
      <c r="T108" s="33">
        <f t="shared" si="13"/>
        <v>552.27586206896547</v>
      </c>
      <c r="U108" s="33">
        <f t="shared" si="14"/>
        <v>1181.6881218274114</v>
      </c>
      <c r="V108" s="33">
        <f t="shared" si="15"/>
        <v>61.854323651452283</v>
      </c>
      <c r="W108" s="33">
        <f t="shared" si="16"/>
        <v>105.27033033033032</v>
      </c>
      <c r="X108" s="33">
        <f t="shared" si="17"/>
        <v>245.02859976199926</v>
      </c>
      <c r="Y108" s="33">
        <f t="shared" si="18"/>
        <v>552.27586206896547</v>
      </c>
      <c r="Z108" s="33">
        <f t="shared" si="19"/>
        <v>1181.6881218274114</v>
      </c>
    </row>
    <row r="109" spans="1:26" x14ac:dyDescent="0.25">
      <c r="A109" s="31" t="s">
        <v>62</v>
      </c>
      <c r="B109" s="88" t="s">
        <v>203</v>
      </c>
      <c r="C109" s="28">
        <v>5.6500000000000002E-2</v>
      </c>
      <c r="D109" s="28">
        <v>0.11807257</v>
      </c>
      <c r="E109" s="28">
        <v>7.0624999999999993E-2</v>
      </c>
      <c r="F109" s="28">
        <v>0.1475907125</v>
      </c>
      <c r="G109" s="28">
        <v>8.4750000000000006E-2</v>
      </c>
      <c r="H109" s="28">
        <v>0.17710885500000004</v>
      </c>
      <c r="I109" s="28">
        <v>9.8875000000000005E-2</v>
      </c>
      <c r="J109" s="28">
        <v>0.20662699749999999</v>
      </c>
      <c r="K109" s="29">
        <v>0.113</v>
      </c>
      <c r="L109" s="28">
        <v>0.23614514</v>
      </c>
      <c r="M109" s="130" t="s">
        <v>128</v>
      </c>
      <c r="N109" s="35" t="s">
        <v>134</v>
      </c>
      <c r="O109" s="135">
        <v>2500</v>
      </c>
      <c r="P109" s="135">
        <v>1</v>
      </c>
      <c r="Q109" s="33">
        <f t="shared" si="10"/>
        <v>295.18142499999999</v>
      </c>
      <c r="R109" s="33">
        <f t="shared" si="11"/>
        <v>368.97678124999999</v>
      </c>
      <c r="S109" s="33">
        <f t="shared" si="12"/>
        <v>442.7721375000001</v>
      </c>
      <c r="T109" s="33">
        <f t="shared" si="13"/>
        <v>516.56749374999993</v>
      </c>
      <c r="U109" s="33">
        <f t="shared" si="14"/>
        <v>590.36284999999998</v>
      </c>
      <c r="V109" s="33">
        <f t="shared" si="15"/>
        <v>295.18142499999999</v>
      </c>
      <c r="W109" s="33">
        <f t="shared" si="16"/>
        <v>368.97678124999999</v>
      </c>
      <c r="X109" s="33">
        <f t="shared" si="17"/>
        <v>442.7721375000001</v>
      </c>
      <c r="Y109" s="33">
        <f t="shared" si="18"/>
        <v>516.56749374999993</v>
      </c>
      <c r="Z109" s="33">
        <f t="shared" si="19"/>
        <v>590.36284999999998</v>
      </c>
    </row>
    <row r="110" spans="1:26" x14ac:dyDescent="0.25">
      <c r="A110" s="85" t="s">
        <v>62</v>
      </c>
      <c r="B110" s="77" t="s">
        <v>199</v>
      </c>
      <c r="C110" s="28">
        <v>3.3837493759715447E-2</v>
      </c>
      <c r="D110" s="28">
        <v>7.0712917709178133E-2</v>
      </c>
      <c r="E110" s="28">
        <v>7.6750370757631942E-2</v>
      </c>
      <c r="F110" s="28">
        <v>0.16039138980188405</v>
      </c>
      <c r="G110" s="28">
        <v>9.2100444909158335E-2</v>
      </c>
      <c r="H110" s="28">
        <v>0.1924696677622609</v>
      </c>
      <c r="I110" s="28">
        <v>0.10745051906068473</v>
      </c>
      <c r="J110" s="28">
        <v>0.2245479457226377</v>
      </c>
      <c r="K110" s="28">
        <v>0.16228837751151071</v>
      </c>
      <c r="L110" s="28">
        <v>0.3391470055560048</v>
      </c>
      <c r="M110" s="131" t="s">
        <v>198</v>
      </c>
      <c r="N110" s="35"/>
      <c r="O110" s="135">
        <v>2500</v>
      </c>
      <c r="P110" s="135">
        <v>1</v>
      </c>
      <c r="Q110" s="33">
        <f t="shared" si="10"/>
        <v>176.78229427294534</v>
      </c>
      <c r="R110" s="33">
        <f t="shared" si="11"/>
        <v>400.97847450471016</v>
      </c>
      <c r="S110" s="33">
        <f t="shared" si="12"/>
        <v>481.17416940565226</v>
      </c>
      <c r="T110" s="33">
        <f t="shared" si="13"/>
        <v>561.3698643065942</v>
      </c>
      <c r="U110" s="33">
        <f t="shared" si="14"/>
        <v>847.86751389001199</v>
      </c>
      <c r="V110" s="33">
        <f t="shared" si="15"/>
        <v>176.78229427294534</v>
      </c>
      <c r="W110" s="33">
        <f t="shared" si="16"/>
        <v>400.97847450471016</v>
      </c>
      <c r="X110" s="33">
        <f t="shared" si="17"/>
        <v>481.17416940565226</v>
      </c>
      <c r="Y110" s="33">
        <f t="shared" si="18"/>
        <v>561.3698643065942</v>
      </c>
      <c r="Z110" s="33">
        <f t="shared" si="19"/>
        <v>847.86751389001199</v>
      </c>
    </row>
    <row r="111" spans="1:26" x14ac:dyDescent="0.25">
      <c r="A111" s="127" t="s">
        <v>62</v>
      </c>
      <c r="B111" s="126" t="s">
        <v>231</v>
      </c>
      <c r="C111" s="28"/>
      <c r="D111" s="28">
        <v>3.3775316398753537E-2</v>
      </c>
      <c r="E111" s="28"/>
      <c r="F111" s="28">
        <v>5.9661138638327713E-2</v>
      </c>
      <c r="G111" s="28"/>
      <c r="H111" s="28">
        <v>0.1188606916457756</v>
      </c>
      <c r="I111" s="28"/>
      <c r="J111" s="28">
        <v>0.21498591506157547</v>
      </c>
      <c r="K111" s="28"/>
      <c r="L111" s="28">
        <v>0.34811559038749534</v>
      </c>
      <c r="M111" s="133" t="s">
        <v>85</v>
      </c>
      <c r="N111" s="35"/>
      <c r="O111" s="135">
        <v>2500</v>
      </c>
      <c r="P111" s="135">
        <v>1</v>
      </c>
      <c r="Q111" s="33">
        <f t="shared" si="10"/>
        <v>84.438290996883836</v>
      </c>
      <c r="R111" s="33">
        <f t="shared" si="11"/>
        <v>149.15284659581928</v>
      </c>
      <c r="S111" s="33">
        <f t="shared" si="12"/>
        <v>297.15172911443904</v>
      </c>
      <c r="T111" s="33">
        <f t="shared" si="13"/>
        <v>537.46478765393863</v>
      </c>
      <c r="U111" s="33">
        <f t="shared" si="14"/>
        <v>870.28897596873833</v>
      </c>
      <c r="V111" s="33">
        <f t="shared" si="15"/>
        <v>84.438290996883836</v>
      </c>
      <c r="W111" s="33">
        <f t="shared" si="16"/>
        <v>149.15284659581928</v>
      </c>
      <c r="X111" s="33">
        <f t="shared" si="17"/>
        <v>297.15172911443904</v>
      </c>
      <c r="Y111" s="33">
        <f t="shared" si="18"/>
        <v>537.46478765393863</v>
      </c>
      <c r="Z111" s="33">
        <f t="shared" si="19"/>
        <v>870.28897596873833</v>
      </c>
    </row>
    <row r="112" spans="1:26" hidden="1" x14ac:dyDescent="0.25">
      <c r="A112" s="84" t="s">
        <v>98</v>
      </c>
      <c r="B112" s="77" t="s">
        <v>199</v>
      </c>
      <c r="C112" s="28">
        <v>3.6271193707291177E-2</v>
      </c>
      <c r="D112" s="28">
        <v>7.2189347795831374E-2</v>
      </c>
      <c r="E112" s="28">
        <v>9.2760006106566914E-2</v>
      </c>
      <c r="F112" s="28">
        <v>0.18461714815369659</v>
      </c>
      <c r="G112" s="28">
        <v>0.1113120073278803</v>
      </c>
      <c r="H112" s="28">
        <v>0.22154057778443589</v>
      </c>
      <c r="I112" s="28">
        <v>0.1744750679670522</v>
      </c>
      <c r="J112" s="28">
        <v>0.34725191193922511</v>
      </c>
      <c r="K112" s="28">
        <v>0.19940007767663109</v>
      </c>
      <c r="L112" s="28">
        <v>0.39685932793054296</v>
      </c>
      <c r="M112" s="131" t="s">
        <v>198</v>
      </c>
      <c r="N112" s="35"/>
      <c r="O112" s="135">
        <v>2500</v>
      </c>
      <c r="P112" s="135">
        <v>1</v>
      </c>
      <c r="Q112" s="33">
        <f t="shared" si="10"/>
        <v>180.47336948957843</v>
      </c>
      <c r="R112" s="33">
        <f t="shared" si="11"/>
        <v>461.5428703842415</v>
      </c>
      <c r="S112" s="33">
        <f t="shared" si="12"/>
        <v>553.85144446108973</v>
      </c>
      <c r="T112" s="33">
        <f t="shared" si="13"/>
        <v>868.12977984806275</v>
      </c>
      <c r="U112" s="33">
        <f t="shared" si="14"/>
        <v>992.14831982635735</v>
      </c>
      <c r="V112" s="33">
        <f t="shared" si="15"/>
        <v>180.47336948957843</v>
      </c>
      <c r="W112" s="33">
        <f t="shared" si="16"/>
        <v>461.5428703842415</v>
      </c>
      <c r="X112" s="33">
        <f t="shared" si="17"/>
        <v>553.85144446108973</v>
      </c>
      <c r="Y112" s="33">
        <f t="shared" si="18"/>
        <v>868.12977984806275</v>
      </c>
      <c r="Z112" s="33">
        <f t="shared" si="19"/>
        <v>992.14831982635735</v>
      </c>
    </row>
    <row r="113" spans="1:26" hidden="1" x14ac:dyDescent="0.25">
      <c r="A113" s="84" t="s">
        <v>104</v>
      </c>
      <c r="B113" s="77" t="s">
        <v>199</v>
      </c>
      <c r="C113" s="28">
        <v>2.8768468145291475E-2</v>
      </c>
      <c r="D113" s="28">
        <v>8.9315736942597715E-2</v>
      </c>
      <c r="E113" s="28">
        <v>3.5960585181614345E-2</v>
      </c>
      <c r="F113" s="28">
        <v>0.11164467117824715</v>
      </c>
      <c r="G113" s="28">
        <v>4.96763616512092E-2</v>
      </c>
      <c r="H113" s="28">
        <v>0.15422721943681011</v>
      </c>
      <c r="I113" s="28">
        <v>5.7955755259744064E-2</v>
      </c>
      <c r="J113" s="28">
        <v>0.17993175600961181</v>
      </c>
      <c r="K113" s="28">
        <v>6.6235148868278929E-2</v>
      </c>
      <c r="L113" s="28">
        <v>0.20563629258241348</v>
      </c>
      <c r="M113" s="131" t="s">
        <v>198</v>
      </c>
      <c r="N113" s="35"/>
      <c r="O113" s="135">
        <v>2500</v>
      </c>
      <c r="P113" s="135">
        <v>1</v>
      </c>
      <c r="Q113" s="33">
        <f t="shared" si="10"/>
        <v>223.28934235649427</v>
      </c>
      <c r="R113" s="33">
        <f t="shared" si="11"/>
        <v>279.11167794561788</v>
      </c>
      <c r="S113" s="33">
        <f t="shared" si="12"/>
        <v>385.56804859202526</v>
      </c>
      <c r="T113" s="33">
        <f t="shared" si="13"/>
        <v>449.82939002402952</v>
      </c>
      <c r="U113" s="33">
        <f t="shared" si="14"/>
        <v>514.09073145603372</v>
      </c>
      <c r="V113" s="33">
        <f t="shared" si="15"/>
        <v>223.28934235649427</v>
      </c>
      <c r="W113" s="33">
        <f t="shared" si="16"/>
        <v>279.11167794561788</v>
      </c>
      <c r="X113" s="33">
        <f t="shared" si="17"/>
        <v>385.56804859202526</v>
      </c>
      <c r="Y113" s="33">
        <f t="shared" si="18"/>
        <v>449.82939002402952</v>
      </c>
      <c r="Z113" s="33">
        <f t="shared" si="19"/>
        <v>514.09073145603372</v>
      </c>
    </row>
    <row r="114" spans="1:26" hidden="1" x14ac:dyDescent="0.25">
      <c r="A114" s="5" t="s">
        <v>63</v>
      </c>
      <c r="B114" s="81"/>
      <c r="C114" s="28"/>
      <c r="D114" s="28"/>
      <c r="E114" s="28"/>
      <c r="F114" s="28"/>
      <c r="G114" s="28"/>
      <c r="H114" s="28"/>
      <c r="I114" s="28"/>
      <c r="J114" s="28"/>
      <c r="K114" s="28"/>
      <c r="L114" s="28"/>
      <c r="M114" s="132"/>
      <c r="N114" s="35"/>
      <c r="O114" s="135">
        <v>2500</v>
      </c>
      <c r="P114" s="135">
        <v>1</v>
      </c>
      <c r="Q114" s="33">
        <f t="shared" si="10"/>
        <v>0</v>
      </c>
      <c r="R114" s="33">
        <f t="shared" si="11"/>
        <v>0</v>
      </c>
      <c r="S114" s="33">
        <f t="shared" si="12"/>
        <v>0</v>
      </c>
      <c r="T114" s="33">
        <f t="shared" si="13"/>
        <v>0</v>
      </c>
      <c r="U114" s="33">
        <f t="shared" si="14"/>
        <v>0</v>
      </c>
      <c r="V114" s="33">
        <f t="shared" si="15"/>
        <v>0</v>
      </c>
      <c r="W114" s="33">
        <f t="shared" si="16"/>
        <v>0</v>
      </c>
      <c r="X114" s="33">
        <f t="shared" si="17"/>
        <v>0</v>
      </c>
      <c r="Y114" s="33">
        <f t="shared" si="18"/>
        <v>0</v>
      </c>
      <c r="Z114" s="33">
        <f t="shared" si="19"/>
        <v>0</v>
      </c>
    </row>
    <row r="115" spans="1:26" hidden="1" x14ac:dyDescent="0.25">
      <c r="A115" s="84" t="s">
        <v>64</v>
      </c>
      <c r="B115" s="77" t="s">
        <v>199</v>
      </c>
      <c r="C115" s="28">
        <v>2.7231583871240757E-2</v>
      </c>
      <c r="D115" s="28">
        <v>6.0069243142107612E-2</v>
      </c>
      <c r="E115" s="28">
        <v>7.221104985622355E-2</v>
      </c>
      <c r="F115" s="28">
        <v>0.15928794784284833</v>
      </c>
      <c r="G115" s="28">
        <v>8.6653259827468271E-2</v>
      </c>
      <c r="H115" s="28">
        <v>0.19114553741141802</v>
      </c>
      <c r="I115" s="28">
        <v>0.15598954072599311</v>
      </c>
      <c r="J115" s="28">
        <v>0.34409212823611068</v>
      </c>
      <c r="K115" s="28">
        <v>0.17827376082970639</v>
      </c>
      <c r="L115" s="28">
        <v>0.39324814655555496</v>
      </c>
      <c r="M115" s="131" t="s">
        <v>198</v>
      </c>
      <c r="N115" s="35"/>
      <c r="O115" s="135">
        <v>2500</v>
      </c>
      <c r="P115" s="135">
        <v>1</v>
      </c>
      <c r="Q115" s="33">
        <f t="shared" si="10"/>
        <v>150.17310785526902</v>
      </c>
      <c r="R115" s="33">
        <f t="shared" si="11"/>
        <v>398.21986960712081</v>
      </c>
      <c r="S115" s="33">
        <f t="shared" si="12"/>
        <v>477.86384352854503</v>
      </c>
      <c r="T115" s="33">
        <f t="shared" si="13"/>
        <v>860.23032059027673</v>
      </c>
      <c r="U115" s="33">
        <f t="shared" si="14"/>
        <v>983.12036638888742</v>
      </c>
      <c r="V115" s="33">
        <f t="shared" si="15"/>
        <v>150.17310785526902</v>
      </c>
      <c r="W115" s="33">
        <f t="shared" si="16"/>
        <v>398.21986960712081</v>
      </c>
      <c r="X115" s="33">
        <f t="shared" si="17"/>
        <v>477.86384352854503</v>
      </c>
      <c r="Y115" s="33">
        <f t="shared" si="18"/>
        <v>860.23032059027673</v>
      </c>
      <c r="Z115" s="33">
        <f t="shared" si="19"/>
        <v>983.12036638888742</v>
      </c>
    </row>
    <row r="116" spans="1:26" hidden="1" x14ac:dyDescent="0.25">
      <c r="A116" s="84" t="s">
        <v>196</v>
      </c>
      <c r="B116" s="77" t="s">
        <v>199</v>
      </c>
      <c r="C116" s="28">
        <v>0.13993173246654608</v>
      </c>
      <c r="D116" s="28">
        <v>0.3086707442568718</v>
      </c>
      <c r="E116" s="28">
        <v>0.26066265362298341</v>
      </c>
      <c r="F116" s="28">
        <v>0.57498705887181834</v>
      </c>
      <c r="G116" s="28">
        <v>0.40603515156448039</v>
      </c>
      <c r="H116" s="28">
        <v>0.89565940633103525</v>
      </c>
      <c r="I116" s="28">
        <v>0.56415193613376724</v>
      </c>
      <c r="J116" s="28">
        <v>1.2444439508529392</v>
      </c>
      <c r="K116" s="28">
        <v>0.61922533725760553</v>
      </c>
      <c r="L116" s="28">
        <v>1.3659285306119766</v>
      </c>
      <c r="M116" s="131" t="s">
        <v>198</v>
      </c>
      <c r="N116" s="35"/>
      <c r="O116" s="135">
        <v>2500</v>
      </c>
      <c r="P116" s="135">
        <v>1</v>
      </c>
      <c r="Q116" s="33">
        <f t="shared" si="10"/>
        <v>771.67686064217946</v>
      </c>
      <c r="R116" s="33">
        <f t="shared" si="11"/>
        <v>1437.4676471795458</v>
      </c>
      <c r="S116" s="33">
        <f t="shared" si="12"/>
        <v>2239.1485158275882</v>
      </c>
      <c r="T116" s="33">
        <f t="shared" si="13"/>
        <v>3111.1098771323482</v>
      </c>
      <c r="U116" s="33">
        <f t="shared" si="14"/>
        <v>3414.8213265299414</v>
      </c>
      <c r="V116" s="33">
        <f t="shared" si="15"/>
        <v>771.67686064217946</v>
      </c>
      <c r="W116" s="33">
        <f t="shared" si="16"/>
        <v>1437.4676471795458</v>
      </c>
      <c r="X116" s="33">
        <f t="shared" si="17"/>
        <v>2239.1485158275882</v>
      </c>
      <c r="Y116" s="33">
        <f t="shared" si="18"/>
        <v>3111.1098771323482</v>
      </c>
      <c r="Z116" s="33">
        <f t="shared" si="19"/>
        <v>3414.8213265299414</v>
      </c>
    </row>
    <row r="117" spans="1:26" hidden="1" x14ac:dyDescent="0.25">
      <c r="A117" s="5" t="s">
        <v>65</v>
      </c>
      <c r="B117" s="81"/>
      <c r="C117" s="28"/>
      <c r="D117" s="28"/>
      <c r="E117" s="28"/>
      <c r="F117" s="28"/>
      <c r="G117" s="28"/>
      <c r="H117" s="28"/>
      <c r="I117" s="28"/>
      <c r="J117" s="28"/>
      <c r="K117" s="28"/>
      <c r="L117" s="28"/>
      <c r="M117" s="132"/>
      <c r="N117" s="35"/>
      <c r="O117" s="135">
        <v>2500</v>
      </c>
      <c r="P117" s="135">
        <v>1</v>
      </c>
      <c r="Q117" s="33">
        <f t="shared" si="10"/>
        <v>0</v>
      </c>
      <c r="R117" s="33">
        <f t="shared" si="11"/>
        <v>0</v>
      </c>
      <c r="S117" s="33">
        <f t="shared" si="12"/>
        <v>0</v>
      </c>
      <c r="T117" s="33">
        <f t="shared" si="13"/>
        <v>0</v>
      </c>
      <c r="U117" s="33">
        <f t="shared" si="14"/>
        <v>0</v>
      </c>
      <c r="V117" s="33">
        <f t="shared" si="15"/>
        <v>0</v>
      </c>
      <c r="W117" s="33">
        <f t="shared" si="16"/>
        <v>0</v>
      </c>
      <c r="X117" s="33">
        <f t="shared" si="17"/>
        <v>0</v>
      </c>
      <c r="Y117" s="33">
        <f t="shared" si="18"/>
        <v>0</v>
      </c>
      <c r="Z117" s="33">
        <f t="shared" si="19"/>
        <v>0</v>
      </c>
    </row>
    <row r="118" spans="1:26" hidden="1" x14ac:dyDescent="0.25">
      <c r="A118" s="84" t="s">
        <v>67</v>
      </c>
      <c r="B118" s="77" t="s">
        <v>199</v>
      </c>
      <c r="C118" s="28">
        <v>6.2140816833345464E-2</v>
      </c>
      <c r="D118" s="28">
        <v>0.16514543481629892</v>
      </c>
      <c r="E118" s="28">
        <v>7.7676021041681836E-2</v>
      </c>
      <c r="F118" s="28">
        <v>0.20643179352037366</v>
      </c>
      <c r="G118" s="28">
        <v>9.3211225250018195E-2</v>
      </c>
      <c r="H118" s="28">
        <v>0.24771815222444837</v>
      </c>
      <c r="I118" s="28">
        <v>0.10874642945835457</v>
      </c>
      <c r="J118" s="28">
        <v>0.28900451092852308</v>
      </c>
      <c r="K118" s="28">
        <v>0.12428163366669093</v>
      </c>
      <c r="L118" s="28">
        <v>0.33029086963259785</v>
      </c>
      <c r="M118" s="131" t="s">
        <v>198</v>
      </c>
      <c r="N118" s="35"/>
      <c r="O118" s="135">
        <v>2500</v>
      </c>
      <c r="P118" s="135">
        <v>1</v>
      </c>
      <c r="Q118" s="33">
        <f t="shared" si="10"/>
        <v>412.86358704074729</v>
      </c>
      <c r="R118" s="33">
        <f t="shared" si="11"/>
        <v>516.07948380093421</v>
      </c>
      <c r="S118" s="33">
        <f t="shared" si="12"/>
        <v>619.29538056112096</v>
      </c>
      <c r="T118" s="33">
        <f t="shared" si="13"/>
        <v>722.51127732130772</v>
      </c>
      <c r="U118" s="33">
        <f t="shared" si="14"/>
        <v>825.72717408149458</v>
      </c>
      <c r="V118" s="33">
        <f t="shared" si="15"/>
        <v>412.86358704074729</v>
      </c>
      <c r="W118" s="33">
        <f t="shared" si="16"/>
        <v>516.07948380093421</v>
      </c>
      <c r="X118" s="33">
        <f t="shared" si="17"/>
        <v>619.29538056112096</v>
      </c>
      <c r="Y118" s="33">
        <f t="shared" si="18"/>
        <v>722.51127732130772</v>
      </c>
      <c r="Z118" s="33">
        <f t="shared" si="19"/>
        <v>825.72717408149458</v>
      </c>
    </row>
    <row r="119" spans="1:26" hidden="1" x14ac:dyDescent="0.25">
      <c r="A119" s="84" t="s">
        <v>197</v>
      </c>
      <c r="B119" s="77" t="s">
        <v>199</v>
      </c>
      <c r="C119" s="28">
        <v>1.4552614868954362E-2</v>
      </c>
      <c r="D119" s="28">
        <v>2.8664770594541707E-2</v>
      </c>
      <c r="E119" s="28">
        <v>3.3820935737924614E-2</v>
      </c>
      <c r="F119" s="28">
        <v>6.6618224487514713E-2</v>
      </c>
      <c r="G119" s="28">
        <v>4.0585122885509535E-2</v>
      </c>
      <c r="H119" s="28">
        <v>7.9941869385017642E-2</v>
      </c>
      <c r="I119" s="28">
        <v>7.1138125670237848E-2</v>
      </c>
      <c r="J119" s="28">
        <v>0.14012313740352317</v>
      </c>
      <c r="K119" s="28">
        <v>8.1300715051700403E-2</v>
      </c>
      <c r="L119" s="28">
        <v>0.16014072846116933</v>
      </c>
      <c r="M119" s="131" t="s">
        <v>198</v>
      </c>
      <c r="N119" s="35"/>
      <c r="O119" s="135">
        <v>2500</v>
      </c>
      <c r="P119" s="135">
        <v>1</v>
      </c>
      <c r="Q119" s="33">
        <f t="shared" si="10"/>
        <v>71.661926486354261</v>
      </c>
      <c r="R119" s="33">
        <f t="shared" si="11"/>
        <v>166.54556121878679</v>
      </c>
      <c r="S119" s="33">
        <f t="shared" si="12"/>
        <v>199.8546734625441</v>
      </c>
      <c r="T119" s="33">
        <f t="shared" si="13"/>
        <v>350.30784350880793</v>
      </c>
      <c r="U119" s="33">
        <f t="shared" si="14"/>
        <v>400.35182115292332</v>
      </c>
      <c r="V119" s="33">
        <f t="shared" si="15"/>
        <v>71.661926486354261</v>
      </c>
      <c r="W119" s="33">
        <f t="shared" si="16"/>
        <v>166.54556121878679</v>
      </c>
      <c r="X119" s="33">
        <f t="shared" si="17"/>
        <v>199.8546734625441</v>
      </c>
      <c r="Y119" s="33">
        <f t="shared" si="18"/>
        <v>350.30784350880793</v>
      </c>
      <c r="Z119" s="33">
        <f t="shared" si="19"/>
        <v>400.35182115292332</v>
      </c>
    </row>
    <row r="120" spans="1:26" hidden="1" x14ac:dyDescent="0.25">
      <c r="A120" s="5" t="s">
        <v>69</v>
      </c>
      <c r="B120" s="81"/>
      <c r="C120" s="28"/>
      <c r="D120" s="28"/>
      <c r="E120" s="28"/>
      <c r="F120" s="28"/>
      <c r="G120" s="28"/>
      <c r="H120" s="28"/>
      <c r="I120" s="28"/>
      <c r="J120" s="28"/>
      <c r="K120" s="28"/>
      <c r="L120" s="28"/>
      <c r="M120" s="132"/>
      <c r="N120" s="35"/>
      <c r="O120" s="135">
        <v>2500</v>
      </c>
      <c r="P120" s="135">
        <v>1</v>
      </c>
      <c r="Q120" s="33">
        <f t="shared" si="10"/>
        <v>0</v>
      </c>
      <c r="R120" s="33">
        <f t="shared" si="11"/>
        <v>0</v>
      </c>
      <c r="S120" s="33">
        <f t="shared" si="12"/>
        <v>0</v>
      </c>
      <c r="T120" s="33">
        <f t="shared" si="13"/>
        <v>0</v>
      </c>
      <c r="U120" s="33">
        <f t="shared" si="14"/>
        <v>0</v>
      </c>
      <c r="V120" s="33">
        <f t="shared" si="15"/>
        <v>0</v>
      </c>
      <c r="W120" s="33">
        <f t="shared" si="16"/>
        <v>0</v>
      </c>
      <c r="X120" s="33">
        <f t="shared" si="17"/>
        <v>0</v>
      </c>
      <c r="Y120" s="33">
        <f t="shared" si="18"/>
        <v>0</v>
      </c>
      <c r="Z120" s="33">
        <f t="shared" si="19"/>
        <v>0</v>
      </c>
    </row>
    <row r="121" spans="1:26" hidden="1" x14ac:dyDescent="0.25">
      <c r="A121" s="5" t="s">
        <v>70</v>
      </c>
      <c r="B121" s="81"/>
      <c r="C121" s="28"/>
      <c r="D121" s="28"/>
      <c r="E121" s="28"/>
      <c r="F121" s="28"/>
      <c r="G121" s="28"/>
      <c r="H121" s="28"/>
      <c r="I121" s="28"/>
      <c r="J121" s="28"/>
      <c r="K121" s="28"/>
      <c r="L121" s="28"/>
      <c r="M121" s="132"/>
      <c r="N121" s="35"/>
      <c r="O121" s="135">
        <v>2500</v>
      </c>
      <c r="P121" s="135">
        <v>1</v>
      </c>
      <c r="Q121" s="33">
        <f t="shared" si="10"/>
        <v>0</v>
      </c>
      <c r="R121" s="33">
        <f t="shared" si="11"/>
        <v>0</v>
      </c>
      <c r="S121" s="33">
        <f t="shared" si="12"/>
        <v>0</v>
      </c>
      <c r="T121" s="33">
        <f t="shared" si="13"/>
        <v>0</v>
      </c>
      <c r="U121" s="33">
        <f t="shared" si="14"/>
        <v>0</v>
      </c>
      <c r="V121" s="33">
        <f t="shared" si="15"/>
        <v>0</v>
      </c>
      <c r="W121" s="33">
        <f t="shared" si="16"/>
        <v>0</v>
      </c>
      <c r="X121" s="33">
        <f t="shared" si="17"/>
        <v>0</v>
      </c>
      <c r="Y121" s="33">
        <f t="shared" si="18"/>
        <v>0</v>
      </c>
      <c r="Z121" s="33">
        <f t="shared" si="19"/>
        <v>0</v>
      </c>
    </row>
    <row r="122" spans="1:26" hidden="1" x14ac:dyDescent="0.25">
      <c r="A122" s="86" t="s">
        <v>71</v>
      </c>
      <c r="B122" s="87"/>
      <c r="C122" s="28"/>
      <c r="D122" s="28"/>
      <c r="E122" s="28"/>
      <c r="F122" s="28"/>
      <c r="G122" s="28"/>
      <c r="H122" s="28"/>
      <c r="I122" s="28"/>
      <c r="J122" s="28"/>
      <c r="K122" s="28"/>
      <c r="L122" s="28"/>
      <c r="M122" s="132"/>
      <c r="N122" s="35"/>
      <c r="O122" s="135">
        <v>2500</v>
      </c>
      <c r="P122" s="135">
        <v>1</v>
      </c>
      <c r="Q122" s="33">
        <f t="shared" si="10"/>
        <v>0</v>
      </c>
      <c r="R122" s="33">
        <f t="shared" si="11"/>
        <v>0</v>
      </c>
      <c r="S122" s="33">
        <f t="shared" si="12"/>
        <v>0</v>
      </c>
      <c r="T122" s="33">
        <f t="shared" si="13"/>
        <v>0</v>
      </c>
      <c r="U122" s="33">
        <f t="shared" si="14"/>
        <v>0</v>
      </c>
      <c r="V122" s="33">
        <f t="shared" si="15"/>
        <v>0</v>
      </c>
      <c r="W122" s="33">
        <f t="shared" si="16"/>
        <v>0</v>
      </c>
      <c r="X122" s="33">
        <f t="shared" si="17"/>
        <v>0</v>
      </c>
      <c r="Y122" s="33">
        <f t="shared" si="18"/>
        <v>0</v>
      </c>
      <c r="Z122" s="33">
        <f t="shared" si="19"/>
        <v>0</v>
      </c>
    </row>
    <row r="123" spans="1:26" hidden="1" x14ac:dyDescent="0.25">
      <c r="A123" s="84" t="s">
        <v>72</v>
      </c>
      <c r="B123" s="77" t="s">
        <v>199</v>
      </c>
      <c r="C123" s="28">
        <v>2.6976298890617898E-2</v>
      </c>
      <c r="D123" s="28">
        <v>5.1766168756151212E-2</v>
      </c>
      <c r="E123" s="28">
        <v>3.295231159662796E-2</v>
      </c>
      <c r="F123" s="28">
        <v>6.3233838338349224E-2</v>
      </c>
      <c r="G123" s="28">
        <v>4.5592134029955503E-2</v>
      </c>
      <c r="H123" s="28">
        <v>8.7489025596783121E-2</v>
      </c>
      <c r="I123" s="28">
        <v>6.0733508148132463E-2</v>
      </c>
      <c r="J123" s="28">
        <v>0.1165445654608588</v>
      </c>
      <c r="K123" s="28">
        <v>6.9409723597865666E-2</v>
      </c>
      <c r="L123" s="28">
        <v>0.13319378909812432</v>
      </c>
      <c r="M123" s="131" t="s">
        <v>198</v>
      </c>
      <c r="N123" s="35"/>
      <c r="O123" s="135">
        <v>2500</v>
      </c>
      <c r="P123" s="135">
        <v>1</v>
      </c>
      <c r="Q123" s="33">
        <f t="shared" si="10"/>
        <v>129.41542189037804</v>
      </c>
      <c r="R123" s="33">
        <f t="shared" si="11"/>
        <v>158.08459584587305</v>
      </c>
      <c r="S123" s="33">
        <f t="shared" si="12"/>
        <v>218.7225639919578</v>
      </c>
      <c r="T123" s="33">
        <f t="shared" si="13"/>
        <v>291.36141365214701</v>
      </c>
      <c r="U123" s="33">
        <f t="shared" si="14"/>
        <v>332.98447274531082</v>
      </c>
      <c r="V123" s="33">
        <f t="shared" si="15"/>
        <v>129.41542189037804</v>
      </c>
      <c r="W123" s="33">
        <f t="shared" si="16"/>
        <v>158.08459584587305</v>
      </c>
      <c r="X123" s="33">
        <f t="shared" si="17"/>
        <v>218.7225639919578</v>
      </c>
      <c r="Y123" s="33">
        <f t="shared" si="18"/>
        <v>291.36141365214701</v>
      </c>
      <c r="Z123" s="33">
        <f t="shared" si="19"/>
        <v>332.98447274531082</v>
      </c>
    </row>
    <row r="124" spans="1:26" hidden="1" x14ac:dyDescent="0.25">
      <c r="A124" s="23" t="s">
        <v>73</v>
      </c>
      <c r="B124" s="88" t="s">
        <v>203</v>
      </c>
      <c r="C124" s="28">
        <v>7.2666666666666671E-2</v>
      </c>
      <c r="D124" s="28">
        <v>0.18032959999999998</v>
      </c>
      <c r="E124" s="28">
        <v>9.0833333333333335E-2</v>
      </c>
      <c r="F124" s="28">
        <v>0.225412</v>
      </c>
      <c r="G124" s="28">
        <v>0.109</v>
      </c>
      <c r="H124" s="28">
        <v>0.27049440000000002</v>
      </c>
      <c r="I124" s="28">
        <v>0.20300000000000001</v>
      </c>
      <c r="J124" s="28">
        <v>0.50376480000000001</v>
      </c>
      <c r="K124" s="29">
        <v>0.23200000000000001</v>
      </c>
      <c r="L124" s="28">
        <v>0.5757312</v>
      </c>
      <c r="M124" s="130" t="s">
        <v>128</v>
      </c>
      <c r="N124" s="35" t="s">
        <v>134</v>
      </c>
      <c r="O124" s="135">
        <v>2500</v>
      </c>
      <c r="P124" s="135">
        <v>1</v>
      </c>
      <c r="Q124" s="33">
        <f t="shared" si="10"/>
        <v>450.82399999999996</v>
      </c>
      <c r="R124" s="33">
        <f t="shared" si="11"/>
        <v>563.53</v>
      </c>
      <c r="S124" s="33">
        <f t="shared" si="12"/>
        <v>676.2360000000001</v>
      </c>
      <c r="T124" s="33">
        <f t="shared" si="13"/>
        <v>1259.412</v>
      </c>
      <c r="U124" s="33">
        <f t="shared" si="14"/>
        <v>1439.328</v>
      </c>
      <c r="V124" s="33">
        <f t="shared" si="15"/>
        <v>450.82399999999996</v>
      </c>
      <c r="W124" s="33">
        <f t="shared" si="16"/>
        <v>563.53</v>
      </c>
      <c r="X124" s="33">
        <f t="shared" si="17"/>
        <v>676.2360000000001</v>
      </c>
      <c r="Y124" s="33">
        <f t="shared" si="18"/>
        <v>1259.412</v>
      </c>
      <c r="Z124" s="33">
        <f t="shared" si="19"/>
        <v>1439.328</v>
      </c>
    </row>
    <row r="126" spans="1:26" x14ac:dyDescent="0.25">
      <c r="A126" s="89" t="s">
        <v>275</v>
      </c>
    </row>
    <row r="127" spans="1:26" x14ac:dyDescent="0.25">
      <c r="A127" s="152" t="s">
        <v>81</v>
      </c>
    </row>
    <row r="128" spans="1:26" x14ac:dyDescent="0.25">
      <c r="A128" s="153" t="s">
        <v>128</v>
      </c>
    </row>
    <row r="129" spans="1:18" x14ac:dyDescent="0.25">
      <c r="A129" s="154" t="s">
        <v>202</v>
      </c>
      <c r="B129" s="78"/>
    </row>
    <row r="130" spans="1:18" x14ac:dyDescent="0.25">
      <c r="A130" s="155" t="s">
        <v>85</v>
      </c>
      <c r="B130" s="78"/>
    </row>
    <row r="132" spans="1:18" x14ac:dyDescent="0.25">
      <c r="A132" s="89" t="s">
        <v>204</v>
      </c>
    </row>
    <row r="133" spans="1:18" x14ac:dyDescent="0.25">
      <c r="A133" s="89"/>
    </row>
    <row r="134" spans="1:18" x14ac:dyDescent="0.25">
      <c r="A134" s="89" t="s">
        <v>205</v>
      </c>
      <c r="D134" s="83"/>
    </row>
    <row r="135" spans="1:18" x14ac:dyDescent="0.25">
      <c r="A135" s="89"/>
      <c r="D135" s="83"/>
    </row>
    <row r="136" spans="1:18" x14ac:dyDescent="0.25">
      <c r="A136" s="151" t="s">
        <v>243</v>
      </c>
      <c r="B136" s="138"/>
      <c r="C136" t="s">
        <v>207</v>
      </c>
      <c r="D136" s="83"/>
      <c r="O136" s="151" t="s">
        <v>244</v>
      </c>
      <c r="P136" s="138"/>
    </row>
    <row r="137" spans="1:18" x14ac:dyDescent="0.25">
      <c r="A137" s="138"/>
      <c r="B137" s="138"/>
      <c r="D137" s="83"/>
      <c r="O137" s="138"/>
      <c r="P137" s="138"/>
    </row>
    <row r="138" spans="1:18" x14ac:dyDescent="0.25">
      <c r="A138" s="139" t="s">
        <v>245</v>
      </c>
      <c r="B138" s="139" t="s">
        <v>246</v>
      </c>
      <c r="D138" s="83"/>
      <c r="O138" s="139" t="s">
        <v>245</v>
      </c>
      <c r="P138" s="801" t="s">
        <v>246</v>
      </c>
      <c r="Q138" s="801"/>
      <c r="R138" s="801"/>
    </row>
    <row r="139" spans="1:18" x14ac:dyDescent="0.25">
      <c r="A139" s="149" t="s">
        <v>6</v>
      </c>
      <c r="B139" s="142" t="s">
        <v>247</v>
      </c>
      <c r="D139" s="83"/>
      <c r="O139" s="149" t="s">
        <v>17</v>
      </c>
      <c r="P139" s="788" t="s">
        <v>16</v>
      </c>
      <c r="Q139" s="788"/>
      <c r="R139" s="788"/>
    </row>
    <row r="140" spans="1:18" x14ac:dyDescent="0.25">
      <c r="A140" s="149" t="s">
        <v>47</v>
      </c>
      <c r="B140" s="142" t="s">
        <v>248</v>
      </c>
      <c r="D140" s="83"/>
      <c r="O140" s="149" t="s">
        <v>141</v>
      </c>
      <c r="P140" s="788" t="s">
        <v>249</v>
      </c>
      <c r="Q140" s="788"/>
      <c r="R140" s="788"/>
    </row>
    <row r="141" spans="1:18" x14ac:dyDescent="0.25">
      <c r="A141" s="149" t="s">
        <v>1</v>
      </c>
      <c r="B141" s="142" t="s">
        <v>16</v>
      </c>
      <c r="D141" s="83"/>
      <c r="O141" s="149" t="s">
        <v>250</v>
      </c>
      <c r="P141" s="788" t="s">
        <v>64</v>
      </c>
      <c r="Q141" s="788"/>
      <c r="R141" s="788"/>
    </row>
    <row r="142" spans="1:18" x14ac:dyDescent="0.25">
      <c r="A142" s="149" t="s">
        <v>57</v>
      </c>
      <c r="B142" s="142" t="s">
        <v>58</v>
      </c>
      <c r="D142" s="83"/>
      <c r="O142" s="149" t="s">
        <v>73</v>
      </c>
      <c r="P142" s="788" t="s">
        <v>36</v>
      </c>
      <c r="Q142" s="788"/>
      <c r="R142" s="788"/>
    </row>
    <row r="143" spans="1:18" ht="15" customHeight="1" x14ac:dyDescent="0.25">
      <c r="A143" s="149" t="s">
        <v>251</v>
      </c>
      <c r="B143" s="142" t="s">
        <v>13</v>
      </c>
      <c r="D143" s="83"/>
      <c r="O143" s="148" t="s">
        <v>0</v>
      </c>
      <c r="P143" s="788" t="s">
        <v>247</v>
      </c>
      <c r="Q143" s="788"/>
      <c r="R143" s="788"/>
    </row>
    <row r="144" spans="1:18" ht="15" customHeight="1" x14ac:dyDescent="0.25">
      <c r="A144" s="149" t="s">
        <v>1</v>
      </c>
      <c r="B144" s="142" t="s">
        <v>249</v>
      </c>
      <c r="D144" s="83"/>
      <c r="O144" s="148" t="s">
        <v>252</v>
      </c>
      <c r="P144" s="788" t="s">
        <v>253</v>
      </c>
      <c r="Q144" s="788"/>
      <c r="R144" s="788"/>
    </row>
    <row r="145" spans="1:18" x14ac:dyDescent="0.25">
      <c r="A145" s="149" t="s">
        <v>1</v>
      </c>
      <c r="B145" s="142" t="s">
        <v>64</v>
      </c>
      <c r="O145" s="148" t="s">
        <v>254</v>
      </c>
      <c r="P145" s="788" t="s">
        <v>105</v>
      </c>
      <c r="Q145" s="788"/>
      <c r="R145" s="788"/>
    </row>
    <row r="146" spans="1:18" x14ac:dyDescent="0.25">
      <c r="A146" s="149" t="s">
        <v>73</v>
      </c>
      <c r="B146" s="142" t="s">
        <v>36</v>
      </c>
      <c r="O146" s="148" t="s">
        <v>252</v>
      </c>
      <c r="P146" s="788" t="s">
        <v>108</v>
      </c>
      <c r="Q146" s="788"/>
      <c r="R146" s="788"/>
    </row>
    <row r="147" spans="1:18" x14ac:dyDescent="0.25">
      <c r="A147" s="146" t="s">
        <v>255</v>
      </c>
      <c r="B147" s="150" t="s">
        <v>105</v>
      </c>
      <c r="O147" s="148" t="s">
        <v>54</v>
      </c>
      <c r="P147" s="788" t="s">
        <v>256</v>
      </c>
      <c r="Q147" s="788"/>
      <c r="R147" s="788"/>
    </row>
    <row r="148" spans="1:18" x14ac:dyDescent="0.25">
      <c r="A148" s="147" t="s">
        <v>52</v>
      </c>
      <c r="B148" s="150" t="s">
        <v>253</v>
      </c>
      <c r="O148" s="148" t="s">
        <v>254</v>
      </c>
      <c r="P148" s="788" t="s">
        <v>257</v>
      </c>
      <c r="Q148" s="788"/>
      <c r="R148" s="788"/>
    </row>
    <row r="149" spans="1:18" x14ac:dyDescent="0.25">
      <c r="A149" s="147" t="s">
        <v>52</v>
      </c>
      <c r="B149" s="150" t="s">
        <v>108</v>
      </c>
      <c r="O149" s="149" t="s">
        <v>73</v>
      </c>
      <c r="P149" s="788" t="s">
        <v>258</v>
      </c>
      <c r="Q149" s="788"/>
      <c r="R149" s="788"/>
    </row>
    <row r="150" spans="1:18" x14ac:dyDescent="0.25">
      <c r="A150" s="146" t="s">
        <v>255</v>
      </c>
      <c r="B150" s="150" t="s">
        <v>257</v>
      </c>
      <c r="O150" s="148" t="s">
        <v>259</v>
      </c>
      <c r="P150" s="788" t="s">
        <v>22</v>
      </c>
      <c r="Q150" s="788"/>
      <c r="R150" s="788"/>
    </row>
    <row r="151" spans="1:18" x14ac:dyDescent="0.25">
      <c r="A151" s="146" t="s">
        <v>6</v>
      </c>
      <c r="B151" s="150" t="s">
        <v>260</v>
      </c>
      <c r="O151" s="148" t="s">
        <v>254</v>
      </c>
      <c r="P151" s="788" t="s">
        <v>190</v>
      </c>
      <c r="Q151" s="788"/>
      <c r="R151" s="788"/>
    </row>
    <row r="152" spans="1:18" x14ac:dyDescent="0.25">
      <c r="A152" s="149" t="s">
        <v>6</v>
      </c>
      <c r="B152" s="150" t="s">
        <v>8</v>
      </c>
      <c r="O152" s="148" t="s">
        <v>107</v>
      </c>
      <c r="P152" s="788" t="s">
        <v>35</v>
      </c>
      <c r="Q152" s="788"/>
      <c r="R152" s="788"/>
    </row>
    <row r="153" spans="1:18" x14ac:dyDescent="0.25">
      <c r="A153" s="149" t="s">
        <v>73</v>
      </c>
      <c r="B153" s="150" t="s">
        <v>261</v>
      </c>
      <c r="O153" s="149" t="s">
        <v>107</v>
      </c>
      <c r="P153" s="788" t="s">
        <v>193</v>
      </c>
      <c r="Q153" s="788"/>
      <c r="R153" s="788"/>
    </row>
    <row r="154" spans="1:18" x14ac:dyDescent="0.25">
      <c r="A154" s="148" t="s">
        <v>259</v>
      </c>
      <c r="B154" s="150" t="s">
        <v>22</v>
      </c>
      <c r="O154" s="148" t="s">
        <v>259</v>
      </c>
      <c r="P154" s="788" t="s">
        <v>22</v>
      </c>
      <c r="Q154" s="788"/>
      <c r="R154" s="788"/>
    </row>
    <row r="155" spans="1:18" x14ac:dyDescent="0.25">
      <c r="A155" s="149" t="s">
        <v>61</v>
      </c>
      <c r="B155" s="150" t="s">
        <v>104</v>
      </c>
      <c r="O155" s="148" t="s">
        <v>254</v>
      </c>
      <c r="P155" s="788" t="s">
        <v>257</v>
      </c>
      <c r="Q155" s="788"/>
      <c r="R155" s="788"/>
    </row>
    <row r="156" spans="1:18" x14ac:dyDescent="0.25">
      <c r="A156" s="149" t="s">
        <v>59</v>
      </c>
      <c r="B156" s="150" t="s">
        <v>171</v>
      </c>
      <c r="O156" s="148" t="s">
        <v>252</v>
      </c>
      <c r="P156" s="788" t="s">
        <v>194</v>
      </c>
      <c r="Q156" s="788"/>
      <c r="R156" s="788"/>
    </row>
    <row r="157" spans="1:18" x14ac:dyDescent="0.25">
      <c r="A157" s="149" t="s">
        <v>59</v>
      </c>
      <c r="B157" s="150" t="s">
        <v>157</v>
      </c>
      <c r="O157" s="148" t="s">
        <v>262</v>
      </c>
      <c r="P157" s="788" t="s">
        <v>197</v>
      </c>
      <c r="Q157" s="788"/>
      <c r="R157" s="788"/>
    </row>
    <row r="158" spans="1:18" x14ac:dyDescent="0.25">
      <c r="A158" s="146" t="s">
        <v>255</v>
      </c>
      <c r="B158" s="150" t="s">
        <v>190</v>
      </c>
      <c r="O158" s="148" t="s">
        <v>259</v>
      </c>
      <c r="P158" s="788" t="s">
        <v>188</v>
      </c>
      <c r="Q158" s="788"/>
      <c r="R158" s="788"/>
    </row>
    <row r="159" spans="1:18" x14ac:dyDescent="0.25">
      <c r="A159" s="146" t="s">
        <v>255</v>
      </c>
      <c r="B159" s="150" t="s">
        <v>190</v>
      </c>
      <c r="O159" s="149" t="s">
        <v>107</v>
      </c>
      <c r="P159" s="788" t="s">
        <v>193</v>
      </c>
      <c r="Q159" s="788"/>
      <c r="R159" s="788"/>
    </row>
    <row r="160" spans="1:18" x14ac:dyDescent="0.25">
      <c r="A160" s="149" t="s">
        <v>59</v>
      </c>
      <c r="B160" s="150" t="s">
        <v>263</v>
      </c>
      <c r="O160" s="148" t="s">
        <v>0</v>
      </c>
      <c r="P160" s="788" t="s">
        <v>30</v>
      </c>
      <c r="Q160" s="788"/>
      <c r="R160" s="788"/>
    </row>
    <row r="161" spans="1:18" x14ac:dyDescent="0.25">
      <c r="A161" s="149" t="s">
        <v>107</v>
      </c>
      <c r="B161" s="150" t="s">
        <v>35</v>
      </c>
      <c r="O161" s="149" t="s">
        <v>107</v>
      </c>
      <c r="P161" s="788" t="s">
        <v>264</v>
      </c>
      <c r="Q161" s="788"/>
      <c r="R161" s="788"/>
    </row>
    <row r="162" spans="1:18" x14ac:dyDescent="0.25">
      <c r="A162" s="146" t="s">
        <v>2</v>
      </c>
      <c r="B162" s="150" t="s">
        <v>141</v>
      </c>
      <c r="O162" s="149" t="s">
        <v>1</v>
      </c>
      <c r="P162" s="788" t="s">
        <v>106</v>
      </c>
      <c r="Q162" s="788"/>
      <c r="R162" s="788"/>
    </row>
    <row r="163" spans="1:18" x14ac:dyDescent="0.25">
      <c r="A163" s="147" t="s">
        <v>52</v>
      </c>
      <c r="B163" s="150" t="s">
        <v>194</v>
      </c>
      <c r="O163" s="149" t="s">
        <v>265</v>
      </c>
      <c r="P163" s="788" t="s">
        <v>25</v>
      </c>
      <c r="Q163" s="788"/>
      <c r="R163" s="788"/>
    </row>
    <row r="164" spans="1:18" x14ac:dyDescent="0.25">
      <c r="A164" s="149" t="s">
        <v>107</v>
      </c>
      <c r="B164" s="150" t="s">
        <v>193</v>
      </c>
      <c r="O164" s="149" t="s">
        <v>107</v>
      </c>
      <c r="P164" s="788" t="s">
        <v>35</v>
      </c>
      <c r="Q164" s="788"/>
      <c r="R164" s="788"/>
    </row>
    <row r="165" spans="1:18" x14ac:dyDescent="0.25">
      <c r="A165" s="149" t="s">
        <v>1</v>
      </c>
      <c r="B165" s="147" t="s">
        <v>39</v>
      </c>
      <c r="O165" s="149" t="s">
        <v>262</v>
      </c>
      <c r="P165" s="788" t="s">
        <v>256</v>
      </c>
      <c r="Q165" s="788"/>
      <c r="R165" s="788"/>
    </row>
    <row r="166" spans="1:18" x14ac:dyDescent="0.25">
      <c r="A166" s="149" t="s">
        <v>61</v>
      </c>
      <c r="B166" s="147" t="s">
        <v>104</v>
      </c>
      <c r="O166" s="149" t="s">
        <v>73</v>
      </c>
      <c r="P166" s="788" t="s">
        <v>258</v>
      </c>
      <c r="Q166" s="788"/>
      <c r="R166" s="788"/>
    </row>
    <row r="167" spans="1:18" x14ac:dyDescent="0.25">
      <c r="A167" s="149" t="s">
        <v>59</v>
      </c>
      <c r="B167" s="147" t="s">
        <v>165</v>
      </c>
      <c r="O167" s="148" t="s">
        <v>252</v>
      </c>
      <c r="P167" s="788" t="s">
        <v>266</v>
      </c>
      <c r="Q167" s="788"/>
      <c r="R167" s="788"/>
    </row>
    <row r="168" spans="1:18" x14ac:dyDescent="0.25">
      <c r="A168" s="149" t="s">
        <v>1</v>
      </c>
      <c r="B168" s="150" t="s">
        <v>197</v>
      </c>
      <c r="O168" s="148" t="s">
        <v>254</v>
      </c>
      <c r="P168" s="788" t="s">
        <v>189</v>
      </c>
      <c r="Q168" s="788"/>
      <c r="R168" s="788"/>
    </row>
    <row r="169" spans="1:18" x14ac:dyDescent="0.25">
      <c r="A169" s="148" t="s">
        <v>259</v>
      </c>
      <c r="B169" s="147" t="s">
        <v>188</v>
      </c>
      <c r="O169" s="148" t="s">
        <v>267</v>
      </c>
      <c r="P169" s="788" t="s">
        <v>268</v>
      </c>
      <c r="Q169" s="788"/>
      <c r="R169" s="788"/>
    </row>
    <row r="170" spans="1:18" x14ac:dyDescent="0.25">
      <c r="A170" s="149" t="s">
        <v>6</v>
      </c>
      <c r="B170" s="147" t="s">
        <v>30</v>
      </c>
      <c r="O170" s="148" t="s">
        <v>262</v>
      </c>
      <c r="P170" s="788" t="s">
        <v>21</v>
      </c>
      <c r="Q170" s="788"/>
      <c r="R170" s="788"/>
    </row>
    <row r="171" spans="1:18" x14ac:dyDescent="0.25">
      <c r="A171" s="149" t="s">
        <v>107</v>
      </c>
      <c r="B171" s="147" t="s">
        <v>264</v>
      </c>
      <c r="O171" s="148" t="s">
        <v>100</v>
      </c>
      <c r="P171" s="788" t="s">
        <v>27</v>
      </c>
      <c r="Q171" s="788"/>
      <c r="R171" s="788"/>
    </row>
    <row r="172" spans="1:18" x14ac:dyDescent="0.25">
      <c r="A172" s="149" t="s">
        <v>62</v>
      </c>
      <c r="B172" s="147" t="s">
        <v>98</v>
      </c>
      <c r="O172" s="148" t="s">
        <v>265</v>
      </c>
      <c r="P172" s="788" t="s">
        <v>26</v>
      </c>
      <c r="Q172" s="788"/>
      <c r="R172" s="788"/>
    </row>
    <row r="173" spans="1:18" x14ac:dyDescent="0.25">
      <c r="A173" s="149" t="s">
        <v>1</v>
      </c>
      <c r="B173" s="147" t="s">
        <v>106</v>
      </c>
      <c r="O173" s="148" t="s">
        <v>100</v>
      </c>
      <c r="P173" s="788" t="s">
        <v>192</v>
      </c>
      <c r="Q173" s="788"/>
      <c r="R173" s="788"/>
    </row>
    <row r="174" spans="1:18" x14ac:dyDescent="0.25">
      <c r="A174" s="149" t="s">
        <v>2</v>
      </c>
      <c r="B174" s="147" t="s">
        <v>15</v>
      </c>
      <c r="O174" s="148" t="s">
        <v>100</v>
      </c>
      <c r="P174" s="788" t="s">
        <v>269</v>
      </c>
      <c r="Q174" s="788"/>
      <c r="R174" s="788"/>
    </row>
    <row r="175" spans="1:18" x14ac:dyDescent="0.25">
      <c r="A175" s="146" t="s">
        <v>2</v>
      </c>
      <c r="B175" s="147" t="s">
        <v>67</v>
      </c>
      <c r="O175" s="148" t="s">
        <v>254</v>
      </c>
      <c r="P175" s="788" t="s">
        <v>270</v>
      </c>
      <c r="Q175" s="788"/>
      <c r="R175" s="788"/>
    </row>
    <row r="176" spans="1:18" x14ac:dyDescent="0.25">
      <c r="A176" s="149" t="s">
        <v>57</v>
      </c>
      <c r="B176" s="147" t="s">
        <v>25</v>
      </c>
      <c r="O176" s="148" t="s">
        <v>40</v>
      </c>
      <c r="P176" s="788" t="s">
        <v>271</v>
      </c>
      <c r="Q176" s="788"/>
      <c r="R176" s="788"/>
    </row>
    <row r="177" spans="1:18" x14ac:dyDescent="0.25">
      <c r="A177" s="149" t="s">
        <v>57</v>
      </c>
      <c r="B177" s="147" t="s">
        <v>58</v>
      </c>
      <c r="O177" s="148" t="s">
        <v>54</v>
      </c>
      <c r="P177" s="788" t="s">
        <v>256</v>
      </c>
      <c r="Q177" s="788"/>
      <c r="R177" s="788"/>
    </row>
    <row r="178" spans="1:18" x14ac:dyDescent="0.25">
      <c r="A178" s="149" t="s">
        <v>1</v>
      </c>
      <c r="B178" s="147" t="s">
        <v>196</v>
      </c>
      <c r="O178" s="148" t="s">
        <v>73</v>
      </c>
      <c r="P178" s="788" t="s">
        <v>258</v>
      </c>
      <c r="Q178" s="788"/>
      <c r="R178" s="788"/>
    </row>
    <row r="179" spans="1:18" x14ac:dyDescent="0.25">
      <c r="A179" s="149" t="s">
        <v>6</v>
      </c>
      <c r="B179" s="147" t="s">
        <v>17</v>
      </c>
      <c r="O179" s="148" t="s">
        <v>1</v>
      </c>
      <c r="P179" s="788" t="s">
        <v>161</v>
      </c>
      <c r="Q179" s="788"/>
      <c r="R179" s="788"/>
    </row>
    <row r="180" spans="1:18" x14ac:dyDescent="0.25">
      <c r="A180" s="146" t="s">
        <v>255</v>
      </c>
      <c r="B180" s="147" t="s">
        <v>189</v>
      </c>
      <c r="O180" s="148" t="s">
        <v>107</v>
      </c>
      <c r="P180" s="788" t="s">
        <v>272</v>
      </c>
      <c r="Q180" s="788"/>
      <c r="R180" s="788"/>
    </row>
    <row r="181" spans="1:18" x14ac:dyDescent="0.25">
      <c r="A181" s="147" t="s">
        <v>52</v>
      </c>
      <c r="B181" s="147" t="s">
        <v>266</v>
      </c>
      <c r="O181" s="148" t="s">
        <v>103</v>
      </c>
      <c r="P181" s="788" t="s">
        <v>158</v>
      </c>
      <c r="Q181" s="788"/>
      <c r="R181" s="788"/>
    </row>
    <row r="182" spans="1:18" x14ac:dyDescent="0.25">
      <c r="A182" s="149" t="s">
        <v>1</v>
      </c>
      <c r="B182" s="147" t="s">
        <v>196</v>
      </c>
      <c r="O182" s="140"/>
      <c r="P182" s="140"/>
    </row>
    <row r="183" spans="1:18" x14ac:dyDescent="0.25">
      <c r="A183" s="149" t="s">
        <v>1</v>
      </c>
      <c r="B183" s="147" t="s">
        <v>17</v>
      </c>
      <c r="O183" s="140"/>
      <c r="P183" s="140"/>
    </row>
    <row r="184" spans="1:18" x14ac:dyDescent="0.25">
      <c r="A184" s="149" t="s">
        <v>1</v>
      </c>
      <c r="B184" s="147" t="s">
        <v>54</v>
      </c>
      <c r="O184" s="140"/>
      <c r="P184" s="140"/>
    </row>
    <row r="185" spans="1:18" x14ac:dyDescent="0.25">
      <c r="A185" s="149" t="s">
        <v>2</v>
      </c>
      <c r="B185" s="147" t="s">
        <v>72</v>
      </c>
      <c r="O185" s="140"/>
      <c r="P185" s="140"/>
    </row>
    <row r="186" spans="1:18" x14ac:dyDescent="0.25">
      <c r="A186" s="149" t="s">
        <v>23</v>
      </c>
      <c r="B186" s="147" t="s">
        <v>259</v>
      </c>
      <c r="O186" s="140"/>
      <c r="P186" s="140"/>
    </row>
    <row r="187" spans="1:18" x14ac:dyDescent="0.25">
      <c r="A187" s="149" t="s">
        <v>23</v>
      </c>
      <c r="B187" s="147" t="s">
        <v>158</v>
      </c>
      <c r="O187" s="140"/>
      <c r="P187" s="140"/>
    </row>
    <row r="188" spans="1:18" x14ac:dyDescent="0.25">
      <c r="A188" s="149" t="s">
        <v>2</v>
      </c>
      <c r="B188" s="147" t="s">
        <v>268</v>
      </c>
      <c r="O188" s="140"/>
      <c r="P188" s="140"/>
    </row>
    <row r="189" spans="1:18" x14ac:dyDescent="0.25">
      <c r="A189" s="147" t="s">
        <v>52</v>
      </c>
      <c r="B189" s="147" t="s">
        <v>4</v>
      </c>
      <c r="O189" s="140"/>
      <c r="P189" s="140"/>
    </row>
    <row r="190" spans="1:18" x14ac:dyDescent="0.25">
      <c r="A190" s="147" t="s">
        <v>6</v>
      </c>
      <c r="B190" s="147" t="s">
        <v>21</v>
      </c>
      <c r="O190" s="140"/>
      <c r="P190" s="140"/>
    </row>
    <row r="191" spans="1:18" x14ac:dyDescent="0.25">
      <c r="A191" s="147" t="s">
        <v>100</v>
      </c>
      <c r="B191" s="147" t="s">
        <v>27</v>
      </c>
      <c r="O191" s="140"/>
      <c r="P191" s="140"/>
    </row>
    <row r="192" spans="1:18" x14ac:dyDescent="0.25">
      <c r="A192" s="147" t="s">
        <v>57</v>
      </c>
      <c r="B192" s="147" t="s">
        <v>26</v>
      </c>
      <c r="O192" s="140"/>
      <c r="P192" s="140"/>
    </row>
    <row r="193" spans="1:16" x14ac:dyDescent="0.25">
      <c r="A193" s="147" t="s">
        <v>100</v>
      </c>
      <c r="B193" s="147" t="s">
        <v>192</v>
      </c>
      <c r="O193" s="140"/>
      <c r="P193" s="140"/>
    </row>
    <row r="194" spans="1:16" x14ac:dyDescent="0.25">
      <c r="A194" s="147" t="s">
        <v>100</v>
      </c>
      <c r="B194" s="147" t="s">
        <v>269</v>
      </c>
      <c r="O194" s="140"/>
      <c r="P194" s="140"/>
    </row>
    <row r="195" spans="1:16" x14ac:dyDescent="0.25">
      <c r="A195" s="147" t="s">
        <v>255</v>
      </c>
      <c r="B195" s="147" t="s">
        <v>270</v>
      </c>
      <c r="O195" s="140"/>
      <c r="P195" s="140"/>
    </row>
    <row r="196" spans="1:16" x14ac:dyDescent="0.25">
      <c r="A196" s="147" t="s">
        <v>100</v>
      </c>
      <c r="B196" s="147" t="s">
        <v>271</v>
      </c>
    </row>
    <row r="197" spans="1:16" x14ac:dyDescent="0.25">
      <c r="A197" s="148" t="s">
        <v>1</v>
      </c>
      <c r="B197" s="147" t="s">
        <v>161</v>
      </c>
    </row>
    <row r="198" spans="1:16" x14ac:dyDescent="0.25">
      <c r="A198" s="148" t="s">
        <v>107</v>
      </c>
      <c r="B198" s="147" t="s">
        <v>272</v>
      </c>
    </row>
    <row r="199" spans="1:16" x14ac:dyDescent="0.25">
      <c r="A199" s="148" t="s">
        <v>103</v>
      </c>
      <c r="B199" s="147" t="s">
        <v>158</v>
      </c>
    </row>
  </sheetData>
  <autoFilter ref="A3:Z124" xr:uid="{00000000-0009-0000-0000-000007000000}">
    <filterColumn colId="0">
      <filters>
        <filter val="Castanea sativa"/>
        <filter val="Eucalyptus globulus"/>
        <filter val="Pinus pinaster"/>
        <filter val="Pinus pinaster (Norte)"/>
        <filter val="Pinus radiata"/>
        <filter val="Pinus sylvestris"/>
        <filter val="Pseudotsuga menziesii"/>
        <filter val="Quercus robur"/>
      </filters>
    </filterColumn>
  </autoFilter>
  <mergeCells count="50">
    <mergeCell ref="P177:R177"/>
    <mergeCell ref="P178:R178"/>
    <mergeCell ref="P159:R159"/>
    <mergeCell ref="P168:R168"/>
    <mergeCell ref="P169:R169"/>
    <mergeCell ref="P167:R167"/>
    <mergeCell ref="P175:R175"/>
    <mergeCell ref="P170:R170"/>
    <mergeCell ref="P180:R180"/>
    <mergeCell ref="P181:R181"/>
    <mergeCell ref="P138:R138"/>
    <mergeCell ref="P171:R171"/>
    <mergeCell ref="P172:R172"/>
    <mergeCell ref="P173:R173"/>
    <mergeCell ref="P174:R174"/>
    <mergeCell ref="P163:R163"/>
    <mergeCell ref="P164:R164"/>
    <mergeCell ref="P160:R160"/>
    <mergeCell ref="P179:R179"/>
    <mergeCell ref="P152:R152"/>
    <mergeCell ref="P153:R153"/>
    <mergeCell ref="P176:R176"/>
    <mergeCell ref="P165:R165"/>
    <mergeCell ref="P166:R166"/>
    <mergeCell ref="P158:R158"/>
    <mergeCell ref="P162:R162"/>
    <mergeCell ref="P161:R161"/>
    <mergeCell ref="P148:R148"/>
    <mergeCell ref="P149:R149"/>
    <mergeCell ref="P150:R150"/>
    <mergeCell ref="P151:R151"/>
    <mergeCell ref="P154:R154"/>
    <mergeCell ref="P155:R155"/>
    <mergeCell ref="P156:R156"/>
    <mergeCell ref="P157:R157"/>
    <mergeCell ref="P147:R147"/>
    <mergeCell ref="P145:R145"/>
    <mergeCell ref="P146:R146"/>
    <mergeCell ref="Q1:Z1"/>
    <mergeCell ref="A67:A68"/>
    <mergeCell ref="Q2:U2"/>
    <mergeCell ref="V2:Z2"/>
    <mergeCell ref="O1:P2"/>
    <mergeCell ref="P139:R139"/>
    <mergeCell ref="A81:A83"/>
    <mergeCell ref="P140:R140"/>
    <mergeCell ref="P141:R141"/>
    <mergeCell ref="P142:R142"/>
    <mergeCell ref="P143:R143"/>
    <mergeCell ref="P144:R144"/>
  </mergeCells>
  <phoneticPr fontId="7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filterMode="1"/>
  <dimension ref="A1:N142"/>
  <sheetViews>
    <sheetView topLeftCell="B1" workbookViewId="0">
      <selection activeCell="L96" activeCellId="4" sqref="D96 F96 H96 J96 L96"/>
    </sheetView>
  </sheetViews>
  <sheetFormatPr baseColWidth="10" defaultRowHeight="15" x14ac:dyDescent="0.25"/>
  <cols>
    <col min="1" max="1" width="32.140625" bestFit="1" customWidth="1"/>
    <col min="2" max="2" width="44" style="83" bestFit="1" customWidth="1"/>
    <col min="3" max="3" width="16.85546875" style="20" bestFit="1" customWidth="1"/>
    <col min="4" max="4" width="15.140625" style="20" bestFit="1" customWidth="1"/>
    <col min="5" max="5" width="13.140625" style="20" bestFit="1" customWidth="1"/>
    <col min="6" max="6" width="13.28515625" style="20" bestFit="1" customWidth="1"/>
    <col min="7" max="7" width="13.140625" style="20" bestFit="1" customWidth="1"/>
    <col min="8" max="8" width="13.28515625" style="20" bestFit="1" customWidth="1"/>
    <col min="9" max="9" width="13.140625" style="20" bestFit="1" customWidth="1"/>
    <col min="10" max="10" width="13.28515625" style="20" bestFit="1" customWidth="1"/>
    <col min="11" max="11" width="13.140625" style="20" bestFit="1" customWidth="1"/>
    <col min="12" max="12" width="13.28515625" style="20" bestFit="1" customWidth="1"/>
    <col min="13" max="13" width="23.42578125" style="107" bestFit="1" customWidth="1"/>
    <col min="14" max="14" width="30.28515625" customWidth="1"/>
  </cols>
  <sheetData>
    <row r="1" spans="1:14" ht="33" x14ac:dyDescent="0.25">
      <c r="A1" s="11" t="s">
        <v>93</v>
      </c>
      <c r="B1" s="76" t="s">
        <v>99</v>
      </c>
      <c r="C1" s="14" t="s">
        <v>109</v>
      </c>
      <c r="D1" s="14" t="s">
        <v>114</v>
      </c>
      <c r="E1" s="15" t="s">
        <v>110</v>
      </c>
      <c r="F1" s="15" t="s">
        <v>115</v>
      </c>
      <c r="G1" s="16" t="s">
        <v>111</v>
      </c>
      <c r="H1" s="16" t="s">
        <v>116</v>
      </c>
      <c r="I1" s="17" t="s">
        <v>113</v>
      </c>
      <c r="J1" s="17" t="s">
        <v>117</v>
      </c>
      <c r="K1" s="18" t="s">
        <v>112</v>
      </c>
      <c r="L1" s="18" t="s">
        <v>118</v>
      </c>
      <c r="M1" s="58" t="s">
        <v>75</v>
      </c>
      <c r="N1" s="11" t="s">
        <v>76</v>
      </c>
    </row>
    <row r="2" spans="1:14" hidden="1" x14ac:dyDescent="0.25">
      <c r="A2" s="74" t="s">
        <v>3</v>
      </c>
      <c r="B2" s="88" t="s">
        <v>203</v>
      </c>
      <c r="C2" s="29">
        <v>4.1428571428571398E-2</v>
      </c>
      <c r="D2" s="29">
        <v>5.4809516666666669E-2</v>
      </c>
      <c r="E2" s="29">
        <v>5.1785714285714289E-2</v>
      </c>
      <c r="F2" s="29">
        <v>6.8511895833333336E-2</v>
      </c>
      <c r="G2" s="29">
        <v>6.2142857142857146E-2</v>
      </c>
      <c r="H2" s="29">
        <v>8.2214275000000003E-2</v>
      </c>
      <c r="I2" s="29">
        <v>7.2499999999999995E-2</v>
      </c>
      <c r="J2" s="29">
        <v>9.5916654166666657E-2</v>
      </c>
      <c r="K2" s="29">
        <v>8.2857142857142865E-2</v>
      </c>
      <c r="L2" s="29">
        <v>0.10961903333333334</v>
      </c>
      <c r="M2" s="130" t="s">
        <v>128</v>
      </c>
      <c r="N2" s="35" t="s">
        <v>129</v>
      </c>
    </row>
    <row r="3" spans="1:14" hidden="1" x14ac:dyDescent="0.25">
      <c r="A3" s="75" t="s">
        <v>3</v>
      </c>
      <c r="B3" s="77" t="s">
        <v>199</v>
      </c>
      <c r="C3" s="28">
        <v>4.8031274739990908E-2</v>
      </c>
      <c r="D3" s="28">
        <v>6.3544816116135994E-2</v>
      </c>
      <c r="E3" s="28">
        <v>6.0039093424988636E-2</v>
      </c>
      <c r="F3" s="28">
        <v>7.943102014517002E-2</v>
      </c>
      <c r="G3" s="28">
        <v>7.2046912109986358E-2</v>
      </c>
      <c r="H3" s="28">
        <v>9.5317224174204004E-2</v>
      </c>
      <c r="I3" s="28">
        <v>8.4054730794984087E-2</v>
      </c>
      <c r="J3" s="28">
        <v>0.111203428203238</v>
      </c>
      <c r="K3" s="28">
        <v>9.6062549479981815E-2</v>
      </c>
      <c r="L3" s="28">
        <v>0.12708963223227199</v>
      </c>
      <c r="M3" s="131" t="s">
        <v>198</v>
      </c>
      <c r="N3" s="35"/>
    </row>
    <row r="4" spans="1:14" hidden="1" x14ac:dyDescent="0.25">
      <c r="A4" s="73" t="s">
        <v>167</v>
      </c>
      <c r="B4" s="77" t="s">
        <v>199</v>
      </c>
      <c r="C4" s="28">
        <v>0.16582986056660684</v>
      </c>
      <c r="D4" s="28">
        <v>0.21939097084791426</v>
      </c>
      <c r="E4" s="28">
        <v>0.20728732570825856</v>
      </c>
      <c r="F4" s="28">
        <v>0.27423871355989282</v>
      </c>
      <c r="G4" s="28">
        <v>0.24874479084991025</v>
      </c>
      <c r="H4" s="28">
        <v>0.32908645627187133</v>
      </c>
      <c r="I4" s="28">
        <v>0.29020225599156196</v>
      </c>
      <c r="J4" s="28">
        <v>0.38393419898384989</v>
      </c>
      <c r="K4" s="28">
        <v>0.33165972113321368</v>
      </c>
      <c r="L4" s="28">
        <v>0.43878194169582851</v>
      </c>
      <c r="M4" s="131" t="s">
        <v>198</v>
      </c>
      <c r="N4" s="35"/>
    </row>
    <row r="5" spans="1:14" hidden="1" x14ac:dyDescent="0.25">
      <c r="A5" s="73" t="s">
        <v>4</v>
      </c>
      <c r="B5" s="77" t="s">
        <v>199</v>
      </c>
      <c r="C5" s="28">
        <v>1.3848916202570057E-2</v>
      </c>
      <c r="D5" s="28">
        <v>3.0548862620709202E-2</v>
      </c>
      <c r="E5" s="28">
        <v>1.7311145253212572E-2</v>
      </c>
      <c r="F5" s="28">
        <v>3.8186078275886506E-2</v>
      </c>
      <c r="G5" s="28">
        <v>2.0773374303855088E-2</v>
      </c>
      <c r="H5" s="28">
        <v>4.582329393106381E-2</v>
      </c>
      <c r="I5" s="28">
        <v>2.4235603354497599E-2</v>
      </c>
      <c r="J5" s="28">
        <v>5.3460509586241108E-2</v>
      </c>
      <c r="K5" s="28">
        <v>2.7697832405140115E-2</v>
      </c>
      <c r="L5" s="28">
        <v>6.1097725241418405E-2</v>
      </c>
      <c r="M5" s="131" t="s">
        <v>198</v>
      </c>
      <c r="N5" s="35"/>
    </row>
    <row r="6" spans="1:14" hidden="1" x14ac:dyDescent="0.25">
      <c r="A6" s="73" t="s">
        <v>141</v>
      </c>
      <c r="B6" s="77" t="s">
        <v>199</v>
      </c>
      <c r="C6" s="28">
        <v>5.0088755536270436E-2</v>
      </c>
      <c r="D6" s="28">
        <v>0.14975536130234138</v>
      </c>
      <c r="E6" s="28">
        <v>6.2610944420338044E-2</v>
      </c>
      <c r="F6" s="28">
        <v>0.18719420162792669</v>
      </c>
      <c r="G6" s="28">
        <v>7.5133133304405658E-2</v>
      </c>
      <c r="H6" s="28">
        <v>0.22463304195351205</v>
      </c>
      <c r="I6" s="28">
        <v>8.7655322188473273E-2</v>
      </c>
      <c r="J6" s="28">
        <v>0.26207188227909739</v>
      </c>
      <c r="K6" s="28">
        <v>0.10017751107254087</v>
      </c>
      <c r="L6" s="28">
        <v>0.29951072260468276</v>
      </c>
      <c r="M6" s="131" t="s">
        <v>198</v>
      </c>
      <c r="N6" s="35"/>
    </row>
    <row r="7" spans="1:14" hidden="1" x14ac:dyDescent="0.25">
      <c r="A7" s="2" t="s">
        <v>5</v>
      </c>
      <c r="B7" s="79"/>
      <c r="C7" s="28"/>
      <c r="D7" s="28"/>
      <c r="E7" s="28"/>
      <c r="F7" s="28"/>
      <c r="G7" s="28"/>
      <c r="H7" s="28"/>
      <c r="I7" s="28"/>
      <c r="J7" s="28"/>
      <c r="K7" s="28"/>
      <c r="L7" s="28"/>
      <c r="M7" s="132"/>
      <c r="N7" s="35"/>
    </row>
    <row r="8" spans="1:14" hidden="1" x14ac:dyDescent="0.25">
      <c r="A8" s="74" t="s">
        <v>6</v>
      </c>
      <c r="B8" s="88" t="s">
        <v>203</v>
      </c>
      <c r="C8" s="28">
        <v>2.4235603354497599E-2</v>
      </c>
      <c r="D8" s="28">
        <v>4.3252439999999996E-2</v>
      </c>
      <c r="E8" s="28">
        <v>6.0999999999999999E-2</v>
      </c>
      <c r="F8" s="28">
        <v>0.12563804000000001</v>
      </c>
      <c r="G8" s="28">
        <v>0.112</v>
      </c>
      <c r="H8" s="28">
        <v>0.23067968000000003</v>
      </c>
      <c r="I8" s="28">
        <v>0.17499999999999999</v>
      </c>
      <c r="J8" s="28">
        <v>0.36043700000000001</v>
      </c>
      <c r="K8" s="29">
        <v>0.246</v>
      </c>
      <c r="L8" s="28">
        <v>0.50667143999999997</v>
      </c>
      <c r="M8" s="130" t="s">
        <v>128</v>
      </c>
      <c r="N8" s="35"/>
    </row>
    <row r="9" spans="1:14" hidden="1" x14ac:dyDescent="0.25">
      <c r="A9" s="75" t="s">
        <v>6</v>
      </c>
      <c r="B9" s="77" t="s">
        <v>199</v>
      </c>
      <c r="C9" s="28">
        <v>3.1447806237851809E-2</v>
      </c>
      <c r="D9" s="28">
        <v>6.4771159639729098E-2</v>
      </c>
      <c r="E9" s="28">
        <v>3.9309757797314764E-2</v>
      </c>
      <c r="F9" s="28">
        <v>8.0963949549661379E-2</v>
      </c>
      <c r="G9" s="28">
        <v>4.7171709356777711E-2</v>
      </c>
      <c r="H9" s="28">
        <v>9.7156739459593647E-2</v>
      </c>
      <c r="I9" s="28">
        <v>5.5033660916240665E-2</v>
      </c>
      <c r="J9" s="28">
        <v>0.11334952936952593</v>
      </c>
      <c r="K9" s="28">
        <v>6.2895612475703619E-2</v>
      </c>
      <c r="L9" s="28">
        <v>0.1295423192794582</v>
      </c>
      <c r="M9" s="131" t="s">
        <v>198</v>
      </c>
      <c r="N9" s="35"/>
    </row>
    <row r="10" spans="1:14" hidden="1" x14ac:dyDescent="0.25">
      <c r="A10" s="2" t="s">
        <v>7</v>
      </c>
      <c r="B10" s="79"/>
      <c r="C10" s="28"/>
      <c r="D10" s="28"/>
      <c r="E10" s="28"/>
      <c r="F10" s="28"/>
      <c r="G10" s="28"/>
      <c r="H10" s="28"/>
      <c r="I10" s="28"/>
      <c r="J10" s="28"/>
      <c r="K10" s="28"/>
      <c r="L10" s="28"/>
      <c r="M10" s="132"/>
      <c r="N10" s="35"/>
    </row>
    <row r="11" spans="1:14" hidden="1" x14ac:dyDescent="0.25">
      <c r="A11" s="75" t="s">
        <v>8</v>
      </c>
      <c r="B11" s="77" t="s">
        <v>199</v>
      </c>
      <c r="C11" s="28">
        <v>3.0717644461124231E-2</v>
      </c>
      <c r="D11" s="28">
        <v>5.9604517312365456E-2</v>
      </c>
      <c r="E11" s="28">
        <v>3.8397055576405291E-2</v>
      </c>
      <c r="F11" s="28">
        <v>7.4505646640456821E-2</v>
      </c>
      <c r="G11" s="28">
        <v>4.6076466691686351E-2</v>
      </c>
      <c r="H11" s="28">
        <v>8.9406775968548208E-2</v>
      </c>
      <c r="I11" s="28">
        <v>5.375587780696741E-2</v>
      </c>
      <c r="J11" s="28">
        <v>0.10430790529663955</v>
      </c>
      <c r="K11" s="28">
        <v>6.1435288922248463E-2</v>
      </c>
      <c r="L11" s="28">
        <v>0.11920903462473091</v>
      </c>
      <c r="M11" s="131" t="s">
        <v>198</v>
      </c>
      <c r="N11" s="35"/>
    </row>
    <row r="12" spans="1:14" x14ac:dyDescent="0.25">
      <c r="A12" s="31" t="s">
        <v>2</v>
      </c>
      <c r="B12" s="88" t="s">
        <v>203</v>
      </c>
      <c r="C12" s="28">
        <v>1.0999999999999999E-2</v>
      </c>
      <c r="D12" s="28">
        <v>2.2141386666666665E-2</v>
      </c>
      <c r="E12" s="28">
        <v>0.04</v>
      </c>
      <c r="F12" s="28">
        <v>8.0514133333333335E-2</v>
      </c>
      <c r="G12" s="28">
        <v>7.3999999999999996E-2</v>
      </c>
      <c r="H12" s="28">
        <v>0.14895114666666667</v>
      </c>
      <c r="I12" s="28">
        <v>0.112</v>
      </c>
      <c r="J12" s="28">
        <v>0.22543957333333331</v>
      </c>
      <c r="K12" s="29">
        <v>0.151</v>
      </c>
      <c r="L12" s="28">
        <v>0.30394085333333332</v>
      </c>
      <c r="M12" s="130" t="s">
        <v>128</v>
      </c>
      <c r="N12" s="35"/>
    </row>
    <row r="13" spans="1:14" x14ac:dyDescent="0.25">
      <c r="A13" s="30" t="s">
        <v>2</v>
      </c>
      <c r="B13" s="128" t="s">
        <v>227</v>
      </c>
      <c r="C13" s="28"/>
      <c r="D13" s="28">
        <v>4.3707006369426753E-2</v>
      </c>
      <c r="E13" s="28"/>
      <c r="F13" s="28">
        <v>7.9045013883379617E-2</v>
      </c>
      <c r="G13" s="28"/>
      <c r="H13" s="28">
        <v>0.13044307692307691</v>
      </c>
      <c r="I13" s="28"/>
      <c r="J13" s="28">
        <v>0.2005983526734926</v>
      </c>
      <c r="K13" s="29"/>
      <c r="L13" s="28">
        <v>0.28954389370306183</v>
      </c>
      <c r="M13" s="24" t="s">
        <v>81</v>
      </c>
      <c r="N13" s="35"/>
    </row>
    <row r="14" spans="1:14" x14ac:dyDescent="0.25">
      <c r="A14" s="75" t="s">
        <v>2</v>
      </c>
      <c r="B14" s="77" t="s">
        <v>199</v>
      </c>
      <c r="C14" s="28">
        <v>3.0940271672411278E-2</v>
      </c>
      <c r="D14" s="28">
        <v>6.2278228970051946E-2</v>
      </c>
      <c r="E14" s="28">
        <v>3.8675339590514099E-2</v>
      </c>
      <c r="F14" s="28">
        <v>7.784778621256494E-2</v>
      </c>
      <c r="G14" s="28">
        <v>4.6410407508616913E-2</v>
      </c>
      <c r="H14" s="28">
        <v>9.3417343455077906E-2</v>
      </c>
      <c r="I14" s="28">
        <v>5.4145475426719734E-2</v>
      </c>
      <c r="J14" s="28">
        <v>0.1089869006975909</v>
      </c>
      <c r="K14" s="28">
        <v>6.1880543344822556E-2</v>
      </c>
      <c r="L14" s="28">
        <v>0.12455645794010389</v>
      </c>
      <c r="M14" s="131" t="s">
        <v>198</v>
      </c>
      <c r="N14" s="35"/>
    </row>
    <row r="15" spans="1:14" x14ac:dyDescent="0.25">
      <c r="A15" s="125" t="s">
        <v>2</v>
      </c>
      <c r="B15" s="129" t="s">
        <v>230</v>
      </c>
      <c r="C15" s="28"/>
      <c r="D15" s="28">
        <v>5.5384426799168551E-2</v>
      </c>
      <c r="E15" s="28"/>
      <c r="F15" s="28">
        <v>9.2649280417025512E-2</v>
      </c>
      <c r="G15" s="28"/>
      <c r="H15" s="28">
        <v>0.14159152880542167</v>
      </c>
      <c r="I15" s="28"/>
      <c r="J15" s="28">
        <v>0.20846959774569435</v>
      </c>
      <c r="K15" s="28"/>
      <c r="L15" s="28">
        <v>0.29232713581836017</v>
      </c>
      <c r="M15" s="133" t="s">
        <v>85</v>
      </c>
      <c r="N15" s="35"/>
    </row>
    <row r="16" spans="1:14" hidden="1" x14ac:dyDescent="0.25">
      <c r="A16" s="2" t="s">
        <v>9</v>
      </c>
      <c r="B16" s="79"/>
      <c r="C16" s="28"/>
      <c r="D16" s="28"/>
      <c r="E16" s="28"/>
      <c r="F16" s="28"/>
      <c r="G16" s="28"/>
      <c r="H16" s="28"/>
      <c r="I16" s="28"/>
      <c r="J16" s="28"/>
      <c r="K16" s="28"/>
      <c r="L16" s="28"/>
      <c r="M16" s="132"/>
      <c r="N16" s="35"/>
    </row>
    <row r="17" spans="1:14" x14ac:dyDescent="0.25">
      <c r="A17" s="23" t="s">
        <v>10</v>
      </c>
      <c r="B17" s="88" t="s">
        <v>203</v>
      </c>
      <c r="C17" s="28">
        <v>8.5999999999999993E-2</v>
      </c>
      <c r="D17" s="28">
        <v>0.20894774999999999</v>
      </c>
      <c r="E17" s="28">
        <v>0.1075</v>
      </c>
      <c r="F17" s="28">
        <v>0.26118468749999996</v>
      </c>
      <c r="G17" s="28">
        <v>0.129</v>
      </c>
      <c r="H17" s="28">
        <v>0.31342162499999998</v>
      </c>
      <c r="I17" s="28">
        <v>0.19950000000000001</v>
      </c>
      <c r="J17" s="28">
        <v>0.4847101875</v>
      </c>
      <c r="K17" s="28">
        <v>0.22800000000000001</v>
      </c>
      <c r="L17" s="28">
        <v>0.55395450000000002</v>
      </c>
      <c r="M17" s="130" t="s">
        <v>128</v>
      </c>
      <c r="N17" s="35" t="s">
        <v>126</v>
      </c>
    </row>
    <row r="18" spans="1:14" x14ac:dyDescent="0.25">
      <c r="A18" s="75" t="s">
        <v>10</v>
      </c>
      <c r="B18" s="77" t="s">
        <v>199</v>
      </c>
      <c r="C18" s="28">
        <v>5.1085313145785793E-2</v>
      </c>
      <c r="D18" s="28">
        <v>0.1241181539518298</v>
      </c>
      <c r="E18" s="28">
        <v>6.3856641432232242E-2</v>
      </c>
      <c r="F18" s="28">
        <v>0.15514769243978724</v>
      </c>
      <c r="G18" s="28">
        <v>7.662796971867869E-2</v>
      </c>
      <c r="H18" s="28">
        <v>0.18617723092774471</v>
      </c>
      <c r="I18" s="28">
        <v>8.9399298005125138E-2</v>
      </c>
      <c r="J18" s="28">
        <v>0.21720676941570213</v>
      </c>
      <c r="K18" s="28">
        <v>0.10217062629157159</v>
      </c>
      <c r="L18" s="28">
        <v>0.24823630790365961</v>
      </c>
      <c r="M18" s="131" t="s">
        <v>198</v>
      </c>
      <c r="N18" s="35"/>
    </row>
    <row r="19" spans="1:14" hidden="1" x14ac:dyDescent="0.25">
      <c r="A19" s="84" t="s">
        <v>157</v>
      </c>
      <c r="B19" s="77" t="s">
        <v>199</v>
      </c>
      <c r="C19" s="28">
        <v>1.4595690686994803E-2</v>
      </c>
      <c r="D19" s="28">
        <v>6.1960458449175387E-2</v>
      </c>
      <c r="E19" s="28">
        <v>1.8244613358743503E-2</v>
      </c>
      <c r="F19" s="28">
        <v>7.7450573061469213E-2</v>
      </c>
      <c r="G19" s="28">
        <v>2.1893536030492204E-2</v>
      </c>
      <c r="H19" s="28">
        <v>9.2940687673763067E-2</v>
      </c>
      <c r="I19" s="28">
        <v>2.5542458702240905E-2</v>
      </c>
      <c r="J19" s="28">
        <v>0.10843080228605692</v>
      </c>
      <c r="K19" s="28">
        <v>2.9191381373989606E-2</v>
      </c>
      <c r="L19" s="28">
        <v>0.12392091689835077</v>
      </c>
      <c r="M19" s="131" t="s">
        <v>198</v>
      </c>
      <c r="N19" s="35"/>
    </row>
    <row r="20" spans="1:14" hidden="1" x14ac:dyDescent="0.25">
      <c r="A20" s="2" t="s">
        <v>11</v>
      </c>
      <c r="B20" s="79"/>
      <c r="C20" s="28"/>
      <c r="D20" s="28"/>
      <c r="E20" s="28"/>
      <c r="F20" s="28"/>
      <c r="G20" s="28"/>
      <c r="H20" s="28"/>
      <c r="I20" s="28"/>
      <c r="J20" s="28"/>
      <c r="K20" s="28"/>
      <c r="L20" s="28"/>
      <c r="M20" s="132"/>
      <c r="N20" s="35"/>
    </row>
    <row r="21" spans="1:14" hidden="1" x14ac:dyDescent="0.25">
      <c r="A21" s="2" t="s">
        <v>12</v>
      </c>
      <c r="B21" s="79"/>
      <c r="C21" s="28"/>
      <c r="D21" s="28"/>
      <c r="E21" s="28"/>
      <c r="F21" s="28"/>
      <c r="G21" s="28"/>
      <c r="H21" s="28"/>
      <c r="I21" s="28"/>
      <c r="J21" s="28"/>
      <c r="K21" s="28"/>
      <c r="L21" s="28"/>
      <c r="M21" s="132"/>
      <c r="N21" s="35"/>
    </row>
    <row r="22" spans="1:14" hidden="1" x14ac:dyDescent="0.25">
      <c r="A22" s="84" t="s">
        <v>13</v>
      </c>
      <c r="B22" s="77" t="s">
        <v>199</v>
      </c>
      <c r="C22" s="28">
        <v>7.0330285525162482E-3</v>
      </c>
      <c r="D22" s="28">
        <v>7.2902029632532592E-3</v>
      </c>
      <c r="E22" s="28">
        <v>8.7912856906453094E-3</v>
      </c>
      <c r="F22" s="28">
        <v>9.1127537040665719E-3</v>
      </c>
      <c r="G22" s="28">
        <v>1.0549542828774372E-2</v>
      </c>
      <c r="H22" s="28">
        <v>1.0935304444879886E-2</v>
      </c>
      <c r="I22" s="28">
        <v>1.2307799966903434E-2</v>
      </c>
      <c r="J22" s="28">
        <v>1.2757855185693201E-2</v>
      </c>
      <c r="K22" s="28">
        <v>1.4066057105032496E-2</v>
      </c>
      <c r="L22" s="28">
        <v>1.4580405926506518E-2</v>
      </c>
      <c r="M22" s="131" t="s">
        <v>198</v>
      </c>
      <c r="N22" s="35"/>
    </row>
    <row r="23" spans="1:14" hidden="1" x14ac:dyDescent="0.25">
      <c r="A23" s="2" t="s">
        <v>14</v>
      </c>
      <c r="B23" s="79"/>
      <c r="C23" s="28"/>
      <c r="D23" s="28"/>
      <c r="E23" s="28"/>
      <c r="F23" s="28"/>
      <c r="G23" s="28"/>
      <c r="H23" s="28"/>
      <c r="I23" s="28"/>
      <c r="J23" s="28"/>
      <c r="K23" s="28"/>
      <c r="L23" s="28"/>
      <c r="M23" s="132"/>
      <c r="N23" s="35"/>
    </row>
    <row r="24" spans="1:14" hidden="1" x14ac:dyDescent="0.25">
      <c r="A24" s="84" t="s">
        <v>15</v>
      </c>
      <c r="B24" s="77" t="s">
        <v>199</v>
      </c>
      <c r="C24" s="28">
        <v>3.5519916783877857E-2</v>
      </c>
      <c r="D24" s="28">
        <v>7.8352200436330038E-2</v>
      </c>
      <c r="E24" s="28">
        <v>4.4399895979847323E-2</v>
      </c>
      <c r="F24" s="28">
        <v>9.7940250545412541E-2</v>
      </c>
      <c r="G24" s="28">
        <v>5.3279875175816782E-2</v>
      </c>
      <c r="H24" s="28">
        <v>0.11752830065449504</v>
      </c>
      <c r="I24" s="28">
        <v>6.2159854371786248E-2</v>
      </c>
      <c r="J24" s="28">
        <v>0.13711635076357756</v>
      </c>
      <c r="K24" s="28">
        <v>7.1039833567755714E-2</v>
      </c>
      <c r="L24" s="28">
        <v>0.15670440087266008</v>
      </c>
      <c r="M24" s="131" t="s">
        <v>198</v>
      </c>
      <c r="N24" s="35"/>
    </row>
    <row r="25" spans="1:14" hidden="1" x14ac:dyDescent="0.25">
      <c r="A25" s="84" t="s">
        <v>17</v>
      </c>
      <c r="B25" s="77" t="s">
        <v>199</v>
      </c>
      <c r="C25" s="28">
        <v>0.13780596631208833</v>
      </c>
      <c r="D25" s="28">
        <v>0.26739869703197616</v>
      </c>
      <c r="E25" s="28">
        <v>0.23625044309191207</v>
      </c>
      <c r="F25" s="28">
        <v>0.45842035977554618</v>
      </c>
      <c r="G25" s="28">
        <v>0.31672869557299338</v>
      </c>
      <c r="H25" s="28">
        <v>0.61458036088983636</v>
      </c>
      <c r="I25" s="28">
        <v>0.46409651535326579</v>
      </c>
      <c r="J25" s="28">
        <v>0.900532878391477</v>
      </c>
      <c r="K25" s="28">
        <v>0.54009296361673664</v>
      </c>
      <c r="L25" s="28">
        <v>1.0479963866019157</v>
      </c>
      <c r="M25" s="131" t="s">
        <v>198</v>
      </c>
      <c r="N25" s="35"/>
    </row>
    <row r="26" spans="1:14" hidden="1" x14ac:dyDescent="0.25">
      <c r="A26" s="2" t="s">
        <v>18</v>
      </c>
      <c r="B26" s="79"/>
      <c r="C26" s="28"/>
      <c r="D26" s="28"/>
      <c r="E26" s="28"/>
      <c r="F26" s="28"/>
      <c r="G26" s="28"/>
      <c r="H26" s="28"/>
      <c r="I26" s="28"/>
      <c r="J26" s="28"/>
      <c r="K26" s="28"/>
      <c r="L26" s="28"/>
      <c r="M26" s="132"/>
      <c r="N26" s="35"/>
    </row>
    <row r="27" spans="1:14" hidden="1" x14ac:dyDescent="0.25">
      <c r="A27" s="2" t="s">
        <v>19</v>
      </c>
      <c r="B27" s="79"/>
      <c r="C27" s="28"/>
      <c r="D27" s="28"/>
      <c r="E27" s="28"/>
      <c r="F27" s="28"/>
      <c r="G27" s="28"/>
      <c r="H27" s="28"/>
      <c r="I27" s="28"/>
      <c r="J27" s="28"/>
      <c r="K27" s="28"/>
      <c r="L27" s="28"/>
      <c r="M27" s="132"/>
      <c r="N27" s="35"/>
    </row>
    <row r="28" spans="1:14" hidden="1" x14ac:dyDescent="0.25">
      <c r="A28" s="2" t="s">
        <v>20</v>
      </c>
      <c r="B28" s="79"/>
      <c r="C28" s="28"/>
      <c r="D28" s="28"/>
      <c r="E28" s="28"/>
      <c r="F28" s="28"/>
      <c r="G28" s="28"/>
      <c r="H28" s="28"/>
      <c r="I28" s="28"/>
      <c r="J28" s="28"/>
      <c r="K28" s="28"/>
      <c r="L28" s="28"/>
      <c r="M28" s="132"/>
      <c r="N28" s="35"/>
    </row>
    <row r="29" spans="1:14" hidden="1" x14ac:dyDescent="0.25">
      <c r="A29" s="84" t="s">
        <v>21</v>
      </c>
      <c r="B29" s="77" t="s">
        <v>199</v>
      </c>
      <c r="C29" s="28">
        <v>2.1782229937322616E-2</v>
      </c>
      <c r="D29" s="28">
        <v>4.2905184381875593E-2</v>
      </c>
      <c r="E29" s="28">
        <v>5.6877202471395945E-2</v>
      </c>
      <c r="F29" s="28">
        <v>0.11203292161465764</v>
      </c>
      <c r="G29" s="28">
        <v>0.10415920175927618</v>
      </c>
      <c r="H29" s="28">
        <v>0.20516585167863827</v>
      </c>
      <c r="I29" s="28">
        <v>0.17662290093811014</v>
      </c>
      <c r="J29" s="28">
        <v>0.34790001540782683</v>
      </c>
      <c r="K29" s="28">
        <v>0.20185474392926872</v>
      </c>
      <c r="L29" s="28">
        <v>0.39760001760894487</v>
      </c>
      <c r="M29" s="131" t="s">
        <v>198</v>
      </c>
      <c r="N29" s="35"/>
    </row>
    <row r="30" spans="1:14" hidden="1" x14ac:dyDescent="0.25">
      <c r="A30" s="31" t="s">
        <v>22</v>
      </c>
      <c r="B30" s="88" t="s">
        <v>203</v>
      </c>
      <c r="C30" s="28">
        <v>0.125</v>
      </c>
      <c r="D30" s="28">
        <v>0.32874187500000002</v>
      </c>
      <c r="E30" s="28">
        <v>0.23599999999999999</v>
      </c>
      <c r="F30" s="28">
        <v>0.62066466000000009</v>
      </c>
      <c r="G30" s="28">
        <v>0.379</v>
      </c>
      <c r="H30" s="28">
        <v>0.99674536500000011</v>
      </c>
      <c r="I30" s="28">
        <v>0.55600000000000005</v>
      </c>
      <c r="J30" s="28">
        <v>1.4622438600000003</v>
      </c>
      <c r="K30" s="29">
        <v>0.79100000000000004</v>
      </c>
      <c r="L30" s="28">
        <v>2.0802785849999998</v>
      </c>
      <c r="M30" s="130" t="s">
        <v>128</v>
      </c>
      <c r="N30" s="35" t="s">
        <v>133</v>
      </c>
    </row>
    <row r="31" spans="1:14" hidden="1" x14ac:dyDescent="0.25">
      <c r="A31" s="85" t="s">
        <v>22</v>
      </c>
      <c r="B31" s="77" t="s">
        <v>199</v>
      </c>
      <c r="C31" s="28">
        <v>0.15392749325002175</v>
      </c>
      <c r="D31" s="28">
        <v>0.40481930196049593</v>
      </c>
      <c r="E31" s="28">
        <v>0.37893651576316562</v>
      </c>
      <c r="F31" s="28">
        <v>0.99657840558360089</v>
      </c>
      <c r="G31" s="28">
        <v>0.59538658646021636</v>
      </c>
      <c r="H31" s="28">
        <v>1.5658280222622489</v>
      </c>
      <c r="I31" s="28">
        <v>0.84971838900000141</v>
      </c>
      <c r="J31" s="28">
        <v>2.2347041313747185</v>
      </c>
      <c r="K31" s="28">
        <v>1.3428742516056231</v>
      </c>
      <c r="L31" s="28">
        <v>3.5316719948964348</v>
      </c>
      <c r="M31" s="131" t="s">
        <v>198</v>
      </c>
      <c r="N31" s="35"/>
    </row>
    <row r="32" spans="1:14" x14ac:dyDescent="0.25">
      <c r="A32" s="31" t="s">
        <v>23</v>
      </c>
      <c r="B32" s="88" t="s">
        <v>203</v>
      </c>
      <c r="C32" s="28">
        <v>0.20599999999999999</v>
      </c>
      <c r="D32" s="28">
        <v>0.54176661000000004</v>
      </c>
      <c r="E32" s="28">
        <v>0.41299999999999998</v>
      </c>
      <c r="F32" s="28">
        <v>1.0861631549999999</v>
      </c>
      <c r="G32" s="28">
        <v>0.69499999999999995</v>
      </c>
      <c r="H32" s="28">
        <v>1.8278048250000001</v>
      </c>
      <c r="I32" s="28">
        <v>1.06</v>
      </c>
      <c r="J32" s="28">
        <v>2.7877310999999998</v>
      </c>
      <c r="K32" s="29">
        <v>1.516</v>
      </c>
      <c r="L32" s="28">
        <v>3.9869814600000004</v>
      </c>
      <c r="M32" s="130" t="s">
        <v>128</v>
      </c>
      <c r="N32" s="35"/>
    </row>
    <row r="33" spans="1:14" x14ac:dyDescent="0.25">
      <c r="A33" s="85" t="s">
        <v>23</v>
      </c>
      <c r="B33" s="77" t="s">
        <v>199</v>
      </c>
      <c r="C33" s="28">
        <v>0.21657651092854194</v>
      </c>
      <c r="D33" s="28">
        <v>0.56958214626885495</v>
      </c>
      <c r="E33" s="28">
        <v>0.52885328240384577</v>
      </c>
      <c r="F33" s="28">
        <v>1.3908497572587581</v>
      </c>
      <c r="G33" s="28">
        <v>0.77421299017539003</v>
      </c>
      <c r="H33" s="28">
        <v>2.0361298403169146</v>
      </c>
      <c r="I33" s="28">
        <v>1.139698442797263</v>
      </c>
      <c r="J33" s="28">
        <v>2.9973328241580197</v>
      </c>
      <c r="K33" s="28">
        <v>1.8531260035092387</v>
      </c>
      <c r="L33" s="28">
        <v>4.8736009360390691</v>
      </c>
      <c r="M33" s="131" t="s">
        <v>198</v>
      </c>
      <c r="N33" s="35"/>
    </row>
    <row r="34" spans="1:14" hidden="1" x14ac:dyDescent="0.25">
      <c r="A34" s="30" t="s">
        <v>24</v>
      </c>
      <c r="B34" s="80" t="s">
        <v>95</v>
      </c>
      <c r="C34" s="28">
        <v>8.8111193844626467E-3</v>
      </c>
      <c r="D34" s="28">
        <v>3.769774343225004E-3</v>
      </c>
      <c r="E34" s="28">
        <v>4.2000000000000003E-2</v>
      </c>
      <c r="F34" s="28">
        <v>2.2674170139378728E-2</v>
      </c>
      <c r="G34" s="28">
        <v>4.8687782805429861E-2</v>
      </c>
      <c r="H34" s="28">
        <v>2.720900416725448E-2</v>
      </c>
      <c r="I34" s="28">
        <v>0.15</v>
      </c>
      <c r="J34" s="28">
        <v>6.9703150798753E-2</v>
      </c>
      <c r="K34" s="28">
        <v>0.13102971665514859</v>
      </c>
      <c r="L34" s="28">
        <v>0.22629552729785765</v>
      </c>
      <c r="M34" s="24" t="s">
        <v>81</v>
      </c>
      <c r="N34" s="35" t="s">
        <v>122</v>
      </c>
    </row>
    <row r="35" spans="1:14" hidden="1" x14ac:dyDescent="0.25">
      <c r="A35" s="31" t="s">
        <v>24</v>
      </c>
      <c r="B35" s="88" t="s">
        <v>203</v>
      </c>
      <c r="C35" s="28">
        <v>4.2571428571428573E-2</v>
      </c>
      <c r="D35" s="28">
        <v>7.3523198571428569E-2</v>
      </c>
      <c r="E35" s="28">
        <v>5.3214285714285714E-2</v>
      </c>
      <c r="F35" s="28">
        <v>9.1903998214285729E-2</v>
      </c>
      <c r="G35" s="28">
        <v>6.3857142857142848E-2</v>
      </c>
      <c r="H35" s="28">
        <v>0.11028479785714285</v>
      </c>
      <c r="I35" s="28">
        <v>7.4499999999999997E-2</v>
      </c>
      <c r="J35" s="28">
        <v>0.12866559750000001</v>
      </c>
      <c r="K35" s="28">
        <v>8.5142857142857145E-2</v>
      </c>
      <c r="L35" s="28">
        <v>0.14704639714285714</v>
      </c>
      <c r="M35" s="130" t="s">
        <v>128</v>
      </c>
      <c r="N35" s="35" t="s">
        <v>129</v>
      </c>
    </row>
    <row r="36" spans="1:14" hidden="1" x14ac:dyDescent="0.25">
      <c r="A36" s="85" t="s">
        <v>24</v>
      </c>
      <c r="B36" s="77" t="s">
        <v>199</v>
      </c>
      <c r="C36" s="28">
        <v>2.6003723150912643E-2</v>
      </c>
      <c r="D36" s="28">
        <v>4.4909860086399439E-2</v>
      </c>
      <c r="E36" s="28">
        <v>3.2504653938640805E-2</v>
      </c>
      <c r="F36" s="28">
        <v>5.6137325107999299E-2</v>
      </c>
      <c r="G36" s="28">
        <v>3.9005584726368968E-2</v>
      </c>
      <c r="H36" s="28">
        <v>6.7364790129599159E-2</v>
      </c>
      <c r="I36" s="28">
        <v>4.5506515514097123E-2</v>
      </c>
      <c r="J36" s="28">
        <v>7.8592255151199011E-2</v>
      </c>
      <c r="K36" s="28">
        <v>5.2007446301825286E-2</v>
      </c>
      <c r="L36" s="28">
        <f>'Alt_diám tablas producc'!J66</f>
        <v>0</v>
      </c>
      <c r="M36" s="131" t="s">
        <v>198</v>
      </c>
      <c r="N36" s="35"/>
    </row>
    <row r="37" spans="1:14" hidden="1" x14ac:dyDescent="0.25">
      <c r="A37" s="127" t="s">
        <v>24</v>
      </c>
      <c r="B37" s="126"/>
      <c r="C37" s="28"/>
      <c r="D37" s="28">
        <v>3.2941541673333324E-2</v>
      </c>
      <c r="E37" s="28"/>
      <c r="F37" s="28">
        <v>5.5124144023437502E-2</v>
      </c>
      <c r="G37" s="28"/>
      <c r="H37" s="28">
        <v>0.11843504199999999</v>
      </c>
      <c r="I37" s="28"/>
      <c r="J37" s="28">
        <v>0.17066866221913576</v>
      </c>
      <c r="K37" s="28"/>
      <c r="L37" s="28">
        <v>0.24759816345000005</v>
      </c>
      <c r="M37" s="133" t="s">
        <v>85</v>
      </c>
      <c r="N37" s="35"/>
    </row>
    <row r="38" spans="1:14" hidden="1" x14ac:dyDescent="0.25">
      <c r="A38" s="31" t="s">
        <v>1</v>
      </c>
      <c r="B38" s="88" t="s">
        <v>203</v>
      </c>
      <c r="C38" s="28">
        <v>5.5E-2</v>
      </c>
      <c r="D38" s="28">
        <v>0.12587226666666668</v>
      </c>
      <c r="E38" s="28">
        <v>6.8750000000000006E-2</v>
      </c>
      <c r="F38" s="28">
        <v>0.15734033333333336</v>
      </c>
      <c r="G38" s="28">
        <v>8.2500000000000004E-2</v>
      </c>
      <c r="H38" s="28">
        <v>0.18880840000000004</v>
      </c>
      <c r="I38" s="28">
        <v>9.6250000000000002E-2</v>
      </c>
      <c r="J38" s="28">
        <v>0.22027646666666667</v>
      </c>
      <c r="K38" s="29">
        <v>0.11</v>
      </c>
      <c r="L38" s="28">
        <v>0.25174453333333335</v>
      </c>
      <c r="M38" s="130" t="s">
        <v>128</v>
      </c>
      <c r="N38" s="35" t="s">
        <v>134</v>
      </c>
    </row>
    <row r="39" spans="1:14" hidden="1" x14ac:dyDescent="0.25">
      <c r="A39" s="85" t="s">
        <v>1</v>
      </c>
      <c r="B39" s="77" t="s">
        <v>199</v>
      </c>
      <c r="C39" s="28">
        <v>3.9761341679913867E-2</v>
      </c>
      <c r="D39" s="28">
        <v>9.0997276417428483E-2</v>
      </c>
      <c r="E39" s="28">
        <v>4.970167709989233E-2</v>
      </c>
      <c r="F39" s="28">
        <v>0.11374659552178558</v>
      </c>
      <c r="G39" s="28">
        <v>8.0707300439288143E-2</v>
      </c>
      <c r="H39" s="28">
        <v>0.18470565168801564</v>
      </c>
      <c r="I39" s="28">
        <v>0.12556522035551965</v>
      </c>
      <c r="J39" s="28">
        <v>0.28736688910270414</v>
      </c>
      <c r="K39" s="28">
        <v>0.14350310897773672</v>
      </c>
      <c r="L39" s="28">
        <v>0.32841930183166185</v>
      </c>
      <c r="M39" s="131" t="s">
        <v>198</v>
      </c>
      <c r="N39" s="35"/>
    </row>
    <row r="40" spans="1:14" hidden="1" x14ac:dyDescent="0.25">
      <c r="A40" s="84" t="s">
        <v>25</v>
      </c>
      <c r="B40" s="77" t="s">
        <v>199</v>
      </c>
      <c r="C40" s="28">
        <v>1.6425143721851405E-2</v>
      </c>
      <c r="D40" s="28">
        <v>3.1871348877880464E-2</v>
      </c>
      <c r="E40" s="28">
        <v>2.0531429652314255E-2</v>
      </c>
      <c r="F40" s="28">
        <v>3.9839186097350585E-2</v>
      </c>
      <c r="G40" s="28">
        <v>2.4637715582777105E-2</v>
      </c>
      <c r="H40" s="28">
        <v>4.7807023316820692E-2</v>
      </c>
      <c r="I40" s="28">
        <v>4.3231905657951541E-2</v>
      </c>
      <c r="J40" s="28">
        <v>8.388718973868918E-2</v>
      </c>
      <c r="K40" s="28">
        <v>4.9407892180516048E-2</v>
      </c>
      <c r="L40" s="28">
        <v>9.5871073987073341E-2</v>
      </c>
      <c r="M40" s="131" t="s">
        <v>198</v>
      </c>
      <c r="N40" s="35"/>
    </row>
    <row r="41" spans="1:14" hidden="1" x14ac:dyDescent="0.25">
      <c r="A41" s="84" t="s">
        <v>26</v>
      </c>
      <c r="B41" s="77" t="s">
        <v>199</v>
      </c>
      <c r="C41" s="28">
        <v>1.8499049966165151E-2</v>
      </c>
      <c r="D41" s="28">
        <v>3.5895556554346862E-2</v>
      </c>
      <c r="E41" s="28">
        <v>2.3123812457706443E-2</v>
      </c>
      <c r="F41" s="28">
        <v>4.4869445692933579E-2</v>
      </c>
      <c r="G41" s="28">
        <v>2.7748574949247731E-2</v>
      </c>
      <c r="H41" s="28">
        <v>5.3843334831520297E-2</v>
      </c>
      <c r="I41" s="28">
        <v>6.189334461449373E-2</v>
      </c>
      <c r="J41" s="28">
        <v>0.12009784588996364</v>
      </c>
      <c r="K41" s="28">
        <v>7.073525098799284E-2</v>
      </c>
      <c r="L41" s="28">
        <v>0.13725468101710131</v>
      </c>
      <c r="M41" s="131" t="s">
        <v>198</v>
      </c>
      <c r="N41" s="35"/>
    </row>
    <row r="42" spans="1:14" hidden="1" x14ac:dyDescent="0.25">
      <c r="A42" s="84" t="s">
        <v>189</v>
      </c>
      <c r="B42" s="77" t="s">
        <v>199</v>
      </c>
      <c r="C42" s="28">
        <v>5.7798455470010439E-3</v>
      </c>
      <c r="D42" s="28">
        <v>1.138475443544619E-2</v>
      </c>
      <c r="E42" s="28">
        <v>7.224806933751304E-3</v>
      </c>
      <c r="F42" s="28">
        <v>1.4230943044307736E-2</v>
      </c>
      <c r="G42" s="28">
        <v>8.6697683205015658E-3</v>
      </c>
      <c r="H42" s="28">
        <v>1.7077131653169285E-2</v>
      </c>
      <c r="I42" s="28">
        <v>1.0114729707251826E-2</v>
      </c>
      <c r="J42" s="28">
        <v>1.9923320262030829E-2</v>
      </c>
      <c r="K42" s="28">
        <v>1.1559691094002088E-2</v>
      </c>
      <c r="L42" s="28">
        <v>2.276950887089238E-2</v>
      </c>
      <c r="M42" s="131" t="s">
        <v>198</v>
      </c>
      <c r="N42" s="35"/>
    </row>
    <row r="43" spans="1:14" hidden="1" x14ac:dyDescent="0.25">
      <c r="A43" s="84" t="s">
        <v>190</v>
      </c>
      <c r="B43" s="77" t="s">
        <v>199</v>
      </c>
      <c r="C43" s="28">
        <v>9.5725715263053086E-3</v>
      </c>
      <c r="D43" s="28">
        <v>1.885541322108111E-2</v>
      </c>
      <c r="E43" s="28">
        <v>1.1965714407881635E-2</v>
      </c>
      <c r="F43" s="28">
        <v>2.3569266526351388E-2</v>
      </c>
      <c r="G43" s="28">
        <v>1.4358857289457962E-2</v>
      </c>
      <c r="H43" s="28">
        <v>2.8283119831621666E-2</v>
      </c>
      <c r="I43" s="28">
        <v>1.675200017103429E-2</v>
      </c>
      <c r="J43" s="28">
        <v>3.2996973136891941E-2</v>
      </c>
      <c r="K43" s="28">
        <v>1.9145143052610617E-2</v>
      </c>
      <c r="L43" s="28">
        <v>3.7710826442162219E-2</v>
      </c>
      <c r="M43" s="131" t="s">
        <v>198</v>
      </c>
      <c r="N43" s="35"/>
    </row>
    <row r="44" spans="1:14" hidden="1" x14ac:dyDescent="0.25">
      <c r="A44" s="84" t="s">
        <v>105</v>
      </c>
      <c r="B44" s="77" t="s">
        <v>199</v>
      </c>
      <c r="C44" s="28">
        <v>7.0783056874107976E-3</v>
      </c>
      <c r="D44" s="28">
        <v>1.3942374656015961E-2</v>
      </c>
      <c r="E44" s="28">
        <v>8.8478821092634972E-3</v>
      </c>
      <c r="F44" s="28">
        <v>1.742796832001995E-2</v>
      </c>
      <c r="G44" s="28">
        <v>1.0617458531116196E-2</v>
      </c>
      <c r="H44" s="28">
        <v>2.0913561984023939E-2</v>
      </c>
      <c r="I44" s="28">
        <v>1.2387034952968895E-2</v>
      </c>
      <c r="J44" s="28">
        <v>2.4399155648027929E-2</v>
      </c>
      <c r="K44" s="28">
        <v>1.4156611374821595E-2</v>
      </c>
      <c r="L44" s="28">
        <v>2.7884749312031921E-2</v>
      </c>
      <c r="M44" s="131" t="s">
        <v>198</v>
      </c>
      <c r="N44" s="35"/>
    </row>
    <row r="45" spans="1:14" hidden="1" x14ac:dyDescent="0.25">
      <c r="A45" s="84" t="s">
        <v>191</v>
      </c>
      <c r="B45" s="77" t="s">
        <v>199</v>
      </c>
      <c r="C45" s="28">
        <v>0.34197058899230237</v>
      </c>
      <c r="D45" s="28">
        <v>0.51560045604332738</v>
      </c>
      <c r="E45" s="28">
        <v>0.54059250060134179</v>
      </c>
      <c r="F45" s="28">
        <v>0.81506933290666295</v>
      </c>
      <c r="G45" s="28">
        <v>0.64871100072161014</v>
      </c>
      <c r="H45" s="28">
        <v>0.97808319948799549</v>
      </c>
      <c r="I45" s="28">
        <v>0.86363081643836814</v>
      </c>
      <c r="J45" s="28">
        <v>1.3021249696380088</v>
      </c>
      <c r="K45" s="28">
        <v>1.1176085358157115</v>
      </c>
      <c r="L45" s="28">
        <v>1.6850556430672088</v>
      </c>
      <c r="M45" s="131" t="s">
        <v>198</v>
      </c>
      <c r="N45" s="35"/>
    </row>
    <row r="46" spans="1:14" hidden="1" x14ac:dyDescent="0.25">
      <c r="A46" s="237" t="s">
        <v>191</v>
      </c>
      <c r="B46" s="246" t="s">
        <v>199</v>
      </c>
      <c r="C46" s="29" t="e">
        <f>#REF!</f>
        <v>#REF!</v>
      </c>
      <c r="D46" s="29" t="e">
        <f>#REF!</f>
        <v>#REF!</v>
      </c>
      <c r="E46" s="29" t="e">
        <f>#REF!</f>
        <v>#REF!</v>
      </c>
      <c r="F46" s="29" t="e">
        <f>#REF!</f>
        <v>#REF!</v>
      </c>
      <c r="G46" s="29" t="e">
        <f>#REF!</f>
        <v>#REF!</v>
      </c>
      <c r="H46" s="29" t="e">
        <f>#REF!</f>
        <v>#REF!</v>
      </c>
      <c r="I46" s="29" t="e">
        <f>#REF!</f>
        <v>#REF!</v>
      </c>
      <c r="J46" s="29" t="e">
        <f>#REF!</f>
        <v>#REF!</v>
      </c>
      <c r="K46" s="29" t="e">
        <f>#REF!</f>
        <v>#REF!</v>
      </c>
      <c r="L46" s="29" t="e">
        <f>#REF!</f>
        <v>#REF!</v>
      </c>
      <c r="M46" s="131"/>
      <c r="N46" s="35"/>
    </row>
    <row r="47" spans="1:14" hidden="1" x14ac:dyDescent="0.25">
      <c r="A47" s="2" t="s">
        <v>27</v>
      </c>
      <c r="B47" s="79"/>
      <c r="C47" s="28"/>
      <c r="D47" s="28"/>
      <c r="E47" s="28"/>
      <c r="F47" s="28"/>
      <c r="G47" s="28"/>
      <c r="H47" s="28"/>
      <c r="I47" s="28"/>
      <c r="J47" s="28"/>
      <c r="K47" s="28"/>
      <c r="L47" s="28"/>
      <c r="M47" s="132"/>
      <c r="N47" s="35"/>
    </row>
    <row r="48" spans="1:14" hidden="1" x14ac:dyDescent="0.25">
      <c r="A48" s="2" t="s">
        <v>28</v>
      </c>
      <c r="B48" s="82"/>
      <c r="C48" s="28"/>
      <c r="D48" s="28"/>
      <c r="E48" s="28"/>
      <c r="F48" s="28"/>
      <c r="G48" s="28"/>
      <c r="H48" s="28"/>
      <c r="I48" s="28"/>
      <c r="J48" s="28"/>
      <c r="K48" s="28"/>
      <c r="L48" s="28"/>
      <c r="M48" s="132"/>
      <c r="N48" s="35"/>
    </row>
    <row r="49" spans="1:14" hidden="1" x14ac:dyDescent="0.25">
      <c r="A49" s="2" t="s">
        <v>29</v>
      </c>
      <c r="B49" s="79"/>
      <c r="C49" s="28"/>
      <c r="D49" s="28"/>
      <c r="E49" s="28"/>
      <c r="F49" s="28"/>
      <c r="G49" s="28"/>
      <c r="H49" s="28"/>
      <c r="I49" s="28"/>
      <c r="J49" s="28"/>
      <c r="K49" s="28"/>
      <c r="L49" s="28"/>
      <c r="M49" s="132"/>
      <c r="N49" s="35"/>
    </row>
    <row r="50" spans="1:14" hidden="1" x14ac:dyDescent="0.25">
      <c r="A50" s="2" t="s">
        <v>33</v>
      </c>
      <c r="B50" s="79"/>
      <c r="C50" s="28"/>
      <c r="D50" s="28"/>
      <c r="E50" s="28"/>
      <c r="F50" s="28"/>
      <c r="G50" s="28"/>
      <c r="H50" s="28"/>
      <c r="I50" s="28"/>
      <c r="J50" s="28"/>
      <c r="K50" s="28"/>
      <c r="L50" s="28"/>
      <c r="M50" s="132"/>
      <c r="N50" s="35"/>
    </row>
    <row r="51" spans="1:14" hidden="1" x14ac:dyDescent="0.25">
      <c r="A51" s="2" t="s">
        <v>34</v>
      </c>
      <c r="B51" s="79"/>
      <c r="C51" s="28"/>
      <c r="D51" s="28"/>
      <c r="E51" s="28"/>
      <c r="F51" s="28"/>
      <c r="G51" s="28"/>
      <c r="H51" s="28"/>
      <c r="I51" s="28"/>
      <c r="J51" s="28"/>
      <c r="K51" s="28"/>
      <c r="L51" s="28"/>
      <c r="M51" s="132"/>
      <c r="N51" s="35"/>
    </row>
    <row r="52" spans="1:14" hidden="1" x14ac:dyDescent="0.25">
      <c r="A52" s="84" t="s">
        <v>171</v>
      </c>
      <c r="B52" s="77" t="s">
        <v>199</v>
      </c>
      <c r="C52" s="28">
        <v>1.275303928793441E-2</v>
      </c>
      <c r="D52" s="28">
        <v>3.8995053250978962E-2</v>
      </c>
      <c r="E52" s="28">
        <v>1.5941299109918011E-2</v>
      </c>
      <c r="F52" s="28">
        <v>4.8743816563723702E-2</v>
      </c>
      <c r="G52" s="28">
        <v>2.7498353715506931E-2</v>
      </c>
      <c r="H52" s="28">
        <v>8.4081899478263639E-2</v>
      </c>
      <c r="I52" s="28">
        <v>3.2081412668091419E-2</v>
      </c>
      <c r="J52" s="28">
        <v>9.8095549391307588E-2</v>
      </c>
      <c r="K52" s="28">
        <v>3.6664471620675911E-2</v>
      </c>
      <c r="L52" s="28">
        <v>0.11210919930435154</v>
      </c>
      <c r="M52" s="131" t="s">
        <v>198</v>
      </c>
      <c r="N52" s="35"/>
    </row>
    <row r="53" spans="1:14" hidden="1" x14ac:dyDescent="0.25">
      <c r="A53" s="84" t="s">
        <v>39</v>
      </c>
      <c r="B53" s="77" t="s">
        <v>199</v>
      </c>
      <c r="C53" s="28">
        <v>1.3060539347216366E-2</v>
      </c>
      <c r="D53" s="28">
        <v>2.5342670549338638E-2</v>
      </c>
      <c r="E53" s="28">
        <v>1.6325674184020457E-2</v>
      </c>
      <c r="F53" s="28">
        <v>3.1678338186673295E-2</v>
      </c>
      <c r="G53" s="28">
        <v>4.6052327221534919E-2</v>
      </c>
      <c r="H53" s="28">
        <v>8.9359935740666363E-2</v>
      </c>
      <c r="I53" s="28">
        <v>8.8288764449473867E-2</v>
      </c>
      <c r="J53" s="28">
        <v>0.17131551853775909</v>
      </c>
      <c r="K53" s="28">
        <v>0.10090144508511299</v>
      </c>
      <c r="L53" s="28">
        <v>0.19578916404315322</v>
      </c>
      <c r="M53" s="131" t="s">
        <v>198</v>
      </c>
      <c r="N53" s="35"/>
    </row>
    <row r="54" spans="1:14" hidden="1" x14ac:dyDescent="0.25">
      <c r="A54" s="2" t="s">
        <v>40</v>
      </c>
      <c r="B54" s="79"/>
      <c r="C54" s="28"/>
      <c r="D54" s="28"/>
      <c r="E54" s="28"/>
      <c r="F54" s="28"/>
      <c r="G54" s="28"/>
      <c r="H54" s="28"/>
      <c r="I54" s="28"/>
      <c r="J54" s="28"/>
      <c r="K54" s="28"/>
      <c r="L54" s="28"/>
      <c r="M54" s="132"/>
      <c r="N54" s="35"/>
    </row>
    <row r="55" spans="1:14" hidden="1" x14ac:dyDescent="0.25">
      <c r="A55" s="2" t="s">
        <v>41</v>
      </c>
      <c r="B55" s="79"/>
      <c r="C55" s="29"/>
      <c r="D55" s="29"/>
      <c r="E55" s="29"/>
      <c r="F55" s="29"/>
      <c r="G55" s="29"/>
      <c r="H55" s="29"/>
      <c r="I55" s="29"/>
      <c r="J55" s="29"/>
      <c r="K55" s="29"/>
      <c r="L55" s="29"/>
      <c r="M55" s="132"/>
      <c r="N55" s="35"/>
    </row>
    <row r="56" spans="1:14" hidden="1" x14ac:dyDescent="0.25">
      <c r="A56" s="31" t="s">
        <v>42</v>
      </c>
      <c r="B56" s="88" t="s">
        <v>203</v>
      </c>
      <c r="C56" s="29">
        <v>4.8500000000000001E-2</v>
      </c>
      <c r="D56" s="29">
        <v>6.1570345833333325E-2</v>
      </c>
      <c r="E56" s="29">
        <v>6.0624999999999991E-2</v>
      </c>
      <c r="F56" s="29">
        <v>7.6962932291666661E-2</v>
      </c>
      <c r="G56" s="29">
        <v>7.2749999999999995E-2</v>
      </c>
      <c r="H56" s="29">
        <v>9.235551874999999E-2</v>
      </c>
      <c r="I56" s="29">
        <v>8.4875000000000006E-2</v>
      </c>
      <c r="J56" s="29">
        <v>0.10774810520833335</v>
      </c>
      <c r="K56" s="29">
        <v>9.7000000000000003E-2</v>
      </c>
      <c r="L56" s="29">
        <v>0.12314069166666665</v>
      </c>
      <c r="M56" s="130" t="s">
        <v>128</v>
      </c>
      <c r="N56" s="35" t="s">
        <v>134</v>
      </c>
    </row>
    <row r="57" spans="1:14" hidden="1" x14ac:dyDescent="0.25">
      <c r="A57" s="85" t="s">
        <v>42</v>
      </c>
      <c r="B57" s="77" t="s">
        <v>199</v>
      </c>
      <c r="C57" s="28">
        <v>2.0911777452768961E-2</v>
      </c>
      <c r="D57" s="28">
        <v>2.6547327211478084E-2</v>
      </c>
      <c r="E57" s="28">
        <v>5.3836633176261334E-2</v>
      </c>
      <c r="F57" s="28">
        <v>6.8345157178653956E-2</v>
      </c>
      <c r="G57" s="28">
        <v>0.10661669545555842</v>
      </c>
      <c r="H57" s="28">
        <v>0.13534900640836928</v>
      </c>
      <c r="I57" s="28">
        <v>0.12438614469815149</v>
      </c>
      <c r="J57" s="28">
        <v>0.15790717414309749</v>
      </c>
      <c r="K57" s="28">
        <v>0.14215559394074456</v>
      </c>
      <c r="L57" s="28">
        <v>0.1804653418778257</v>
      </c>
      <c r="M57" s="131" t="s">
        <v>198</v>
      </c>
      <c r="N57" s="35"/>
    </row>
    <row r="58" spans="1:14" hidden="1" x14ac:dyDescent="0.25">
      <c r="A58" s="30" t="s">
        <v>43</v>
      </c>
      <c r="B58" s="80" t="s">
        <v>228</v>
      </c>
      <c r="C58" s="28"/>
      <c r="D58" s="28">
        <v>0</v>
      </c>
      <c r="E58" s="28"/>
      <c r="F58" s="28">
        <v>5.7257669413919412E-3</v>
      </c>
      <c r="G58" s="28"/>
      <c r="H58" s="28">
        <v>1.6673433333333335E-2</v>
      </c>
      <c r="I58" s="28"/>
      <c r="J58" s="28">
        <v>3.6539242599000384E-2</v>
      </c>
      <c r="K58" s="28"/>
      <c r="L58" s="28">
        <v>7.085028328611899E-2</v>
      </c>
      <c r="M58" s="245" t="s">
        <v>413</v>
      </c>
      <c r="N58" s="35"/>
    </row>
    <row r="59" spans="1:14" hidden="1" x14ac:dyDescent="0.25">
      <c r="A59" s="31" t="s">
        <v>43</v>
      </c>
      <c r="B59" s="88" t="s">
        <v>203</v>
      </c>
      <c r="C59" s="29">
        <v>3.8799999999999994E-2</v>
      </c>
      <c r="D59" s="29">
        <v>6.4692921333333334E-2</v>
      </c>
      <c r="E59" s="29">
        <v>4.8500000000000001E-2</v>
      </c>
      <c r="F59" s="29">
        <v>8.086615166666665E-2</v>
      </c>
      <c r="G59" s="29">
        <v>5.8199999999999995E-2</v>
      </c>
      <c r="H59" s="29">
        <v>9.7039382000000007E-2</v>
      </c>
      <c r="I59" s="29">
        <v>6.7899999999999988E-2</v>
      </c>
      <c r="J59" s="29">
        <v>0.11321261233333332</v>
      </c>
      <c r="K59" s="29">
        <v>0.12938584266666667</v>
      </c>
      <c r="L59" s="29">
        <v>7.7599999999999988E-2</v>
      </c>
      <c r="M59" s="130" t="s">
        <v>128</v>
      </c>
      <c r="N59" s="35" t="s">
        <v>129</v>
      </c>
    </row>
    <row r="60" spans="1:14" hidden="1" x14ac:dyDescent="0.25">
      <c r="A60" s="85" t="s">
        <v>43</v>
      </c>
      <c r="B60" s="77" t="s">
        <v>199</v>
      </c>
      <c r="C60" s="28">
        <v>1.8469139953884307E-2</v>
      </c>
      <c r="D60" s="28">
        <v>3.079439737450931E-2</v>
      </c>
      <c r="E60" s="28">
        <v>2.3086424942355382E-2</v>
      </c>
      <c r="F60" s="28">
        <v>3.8492996718136628E-2</v>
      </c>
      <c r="G60" s="28">
        <v>4.9293523056054722E-2</v>
      </c>
      <c r="H60" s="28">
        <v>8.21892270440258E-2</v>
      </c>
      <c r="I60" s="28">
        <v>4.4133364500346293E-2</v>
      </c>
      <c r="J60" s="28">
        <v>7.3585471077222395E-2</v>
      </c>
      <c r="K60" s="28">
        <v>9.4288643108610765E-2</v>
      </c>
      <c r="L60" s="28">
        <v>0.15721154049618813</v>
      </c>
      <c r="M60" s="131" t="s">
        <v>198</v>
      </c>
      <c r="N60" s="35"/>
    </row>
    <row r="61" spans="1:14" hidden="1" x14ac:dyDescent="0.25">
      <c r="A61" s="127" t="s">
        <v>43</v>
      </c>
      <c r="B61" s="126"/>
      <c r="C61" s="28"/>
      <c r="D61" s="28">
        <v>2.0321507946666668E-2</v>
      </c>
      <c r="E61" s="28"/>
      <c r="F61" s="28">
        <v>2.666379298E-2</v>
      </c>
      <c r="G61" s="28"/>
      <c r="H61" s="28">
        <v>4.0266540526666651E-2</v>
      </c>
      <c r="I61" s="28"/>
      <c r="J61" s="28">
        <v>6.1635670506666677E-2</v>
      </c>
      <c r="K61" s="28"/>
      <c r="L61" s="28">
        <v>9.3176129566666682E-2</v>
      </c>
      <c r="M61" s="133" t="s">
        <v>85</v>
      </c>
      <c r="N61" s="35"/>
    </row>
    <row r="62" spans="1:14" hidden="1" x14ac:dyDescent="0.25">
      <c r="A62" s="171" t="s">
        <v>44</v>
      </c>
      <c r="B62" s="80" t="s">
        <v>94</v>
      </c>
      <c r="C62" s="29">
        <f>'Alt_diám tablas producc'!E54</f>
        <v>3.4157697129970299E-2</v>
      </c>
      <c r="D62" s="29">
        <f>'Alt_diám tablas producc'!E54</f>
        <v>3.4157697129970299E-2</v>
      </c>
      <c r="E62" s="29">
        <v>6.6000000000000003E-2</v>
      </c>
      <c r="F62" s="29">
        <f>'Alt_diám tablas producc'!F54</f>
        <v>4.2697121412462874E-2</v>
      </c>
      <c r="G62" s="29">
        <v>7.8790697674418611E-2</v>
      </c>
      <c r="H62" s="29">
        <f>'Alt_diám tablas producc'!G54</f>
        <v>5.1236545694955449E-2</v>
      </c>
      <c r="I62" s="29">
        <v>0.106</v>
      </c>
      <c r="J62" s="29">
        <f>'Alt_diám tablas producc'!H54</f>
        <v>0.10884537979242993</v>
      </c>
      <c r="K62" s="29">
        <v>0.18160469667318982</v>
      </c>
      <c r="L62" s="29">
        <f>'Alt_diám tablas producc'!I54</f>
        <v>0.12636076078387784</v>
      </c>
      <c r="M62" s="24" t="s">
        <v>81</v>
      </c>
      <c r="N62" s="35" t="s">
        <v>119</v>
      </c>
    </row>
    <row r="63" spans="1:14" hidden="1" x14ac:dyDescent="0.25">
      <c r="A63" s="31" t="s">
        <v>44</v>
      </c>
      <c r="B63" s="88" t="s">
        <v>203</v>
      </c>
      <c r="C63" s="28">
        <v>4.3999999999999997E-2</v>
      </c>
      <c r="D63" s="28">
        <v>6.4017066666666664E-2</v>
      </c>
      <c r="E63" s="28">
        <v>5.5000000000000007E-2</v>
      </c>
      <c r="F63" s="28">
        <v>8.0021333333333347E-2</v>
      </c>
      <c r="G63" s="28">
        <v>6.6000000000000003E-2</v>
      </c>
      <c r="H63" s="28">
        <v>9.6025599999999989E-2</v>
      </c>
      <c r="I63" s="28">
        <v>7.6999999999999999E-2</v>
      </c>
      <c r="J63" s="28">
        <v>0.11202986666666667</v>
      </c>
      <c r="K63" s="29">
        <v>8.7999999999999995E-2</v>
      </c>
      <c r="L63" s="28">
        <v>0.12803413333333333</v>
      </c>
      <c r="M63" s="130" t="s">
        <v>128</v>
      </c>
      <c r="N63" s="35" t="s">
        <v>129</v>
      </c>
    </row>
    <row r="64" spans="1:14" hidden="1" x14ac:dyDescent="0.25">
      <c r="A64" s="85" t="s">
        <v>44</v>
      </c>
      <c r="B64" s="77" t="s">
        <v>199</v>
      </c>
      <c r="C64" s="28">
        <v>1.7920503247184628E-2</v>
      </c>
      <c r="D64" s="28">
        <v>2.6073137524437157E-2</v>
      </c>
      <c r="E64" s="28">
        <v>2.2400629058980801E-2</v>
      </c>
      <c r="F64" s="28">
        <v>3.2591421905546439E-2</v>
      </c>
      <c r="G64" s="28">
        <v>5.4433981189938044E-2</v>
      </c>
      <c r="H64" s="28">
        <v>7.9197813699280514E-2</v>
      </c>
      <c r="I64" s="28">
        <v>6.3506311388261058E-2</v>
      </c>
      <c r="J64" s="28">
        <v>9.2397449315827287E-2</v>
      </c>
      <c r="K64" s="28">
        <v>7.2578641586584058E-2</v>
      </c>
      <c r="L64" s="28">
        <v>0.10559708493237403</v>
      </c>
      <c r="M64" s="131" t="s">
        <v>198</v>
      </c>
      <c r="N64" s="35"/>
    </row>
    <row r="65" spans="1:14" hidden="1" x14ac:dyDescent="0.25">
      <c r="A65" s="127" t="s">
        <v>44</v>
      </c>
      <c r="B65" s="126"/>
      <c r="C65" s="28"/>
      <c r="D65" s="28">
        <v>0.18382044761299327</v>
      </c>
      <c r="E65" s="28"/>
      <c r="F65" s="28">
        <v>0.34826063882451141</v>
      </c>
      <c r="G65" s="28"/>
      <c r="H65" s="28">
        <v>0.57646899987068079</v>
      </c>
      <c r="I65" s="28"/>
      <c r="J65" s="28">
        <v>0.87455170971595497</v>
      </c>
      <c r="K65" s="28"/>
      <c r="L65" s="28">
        <v>1.2168313571830238</v>
      </c>
      <c r="M65" s="133" t="s">
        <v>85</v>
      </c>
      <c r="N65" s="35"/>
    </row>
    <row r="66" spans="1:14" x14ac:dyDescent="0.25">
      <c r="A66" s="792" t="s">
        <v>136</v>
      </c>
      <c r="B66" s="80" t="s">
        <v>138</v>
      </c>
      <c r="C66" s="29">
        <v>0.23955555555555555</v>
      </c>
      <c r="D66" s="29">
        <f>'Alt_diám tablas producc'!E55</f>
        <v>0.2327115308614556</v>
      </c>
      <c r="E66" s="29">
        <v>0.42199999999999999</v>
      </c>
      <c r="F66" s="29">
        <f>'Alt_diám tablas producc'!F55</f>
        <v>0.40856203182870365</v>
      </c>
      <c r="G66" s="29">
        <v>0.78600000000000003</v>
      </c>
      <c r="H66" s="29">
        <f>'Alt_diám tablas producc'!G55</f>
        <v>0.58249493630952376</v>
      </c>
      <c r="I66" s="29">
        <v>0.86799999999999999</v>
      </c>
      <c r="J66" s="29">
        <f>'Alt_diám tablas producc'!H55</f>
        <v>0.74304199720492636</v>
      </c>
      <c r="K66" s="29">
        <v>1.3740000000000001</v>
      </c>
      <c r="L66" s="29">
        <f>'Alt_diám tablas producc'!I55</f>
        <v>0.91206257563956428</v>
      </c>
      <c r="M66" s="24" t="s">
        <v>81</v>
      </c>
      <c r="N66" s="35" t="s">
        <v>123</v>
      </c>
    </row>
    <row r="67" spans="1:14" hidden="1" x14ac:dyDescent="0.25">
      <c r="A67" s="800"/>
      <c r="B67" s="80" t="s">
        <v>139</v>
      </c>
      <c r="C67" s="29">
        <v>0.35216666666666668</v>
      </c>
      <c r="D67" s="29">
        <f>'Alt_diám tablas producc'!E56</f>
        <v>0.32827964901620366</v>
      </c>
      <c r="E67" s="29">
        <v>1.4219999999999999</v>
      </c>
      <c r="F67" s="29">
        <f>'Alt_diám tablas producc'!F56</f>
        <v>0.53815745067959075</v>
      </c>
      <c r="G67" s="29">
        <v>1.786</v>
      </c>
      <c r="H67" s="29">
        <f>'Alt_diám tablas producc'!G56</f>
        <v>0.69121584652967782</v>
      </c>
      <c r="I67" s="29">
        <v>1.8680000000000001</v>
      </c>
      <c r="J67" s="29">
        <f>'Alt_diám tablas producc'!H56</f>
        <v>0.80641848761795754</v>
      </c>
      <c r="K67" s="29">
        <v>2.3740000000000001</v>
      </c>
      <c r="L67" s="29">
        <f>'Alt_diám tablas producc'!I56</f>
        <v>0.92162112870623725</v>
      </c>
      <c r="M67" s="24" t="s">
        <v>81</v>
      </c>
      <c r="N67" s="35" t="s">
        <v>124</v>
      </c>
    </row>
    <row r="68" spans="1:14" s="4" customFormat="1" x14ac:dyDescent="0.25">
      <c r="A68" s="32" t="s">
        <v>45</v>
      </c>
      <c r="B68" s="88" t="s">
        <v>203</v>
      </c>
      <c r="C68" s="28">
        <v>0.109</v>
      </c>
      <c r="D68" s="28">
        <v>0.14123220833333333</v>
      </c>
      <c r="E68" s="28">
        <v>0.221</v>
      </c>
      <c r="F68" s="28">
        <v>0.28635154166666665</v>
      </c>
      <c r="G68" s="28">
        <v>0.379</v>
      </c>
      <c r="H68" s="28">
        <v>0.49107345833333343</v>
      </c>
      <c r="I68" s="28">
        <v>0.56899999999999995</v>
      </c>
      <c r="J68" s="28">
        <v>0.73725804166666664</v>
      </c>
      <c r="K68" s="29">
        <v>0.79900000000000004</v>
      </c>
      <c r="L68" s="28">
        <v>1.0352709583333333</v>
      </c>
      <c r="M68" s="130" t="s">
        <v>128</v>
      </c>
      <c r="N68" s="35"/>
    </row>
    <row r="69" spans="1:14" hidden="1" x14ac:dyDescent="0.25">
      <c r="A69" s="30" t="s">
        <v>291</v>
      </c>
      <c r="B69" s="80" t="s">
        <v>140</v>
      </c>
      <c r="C69" s="134">
        <v>4.0599999999999997E-2</v>
      </c>
      <c r="D69" s="134">
        <f>'Alt_diám tablas producc'!E57</f>
        <v>0.11982849020241199</v>
      </c>
      <c r="E69" s="29">
        <v>0.124475</v>
      </c>
      <c r="F69" s="29">
        <f>'Alt_diám tablas producc'!F57</f>
        <v>0.14978561275301497</v>
      </c>
      <c r="G69" s="29">
        <v>0.1981859410430839</v>
      </c>
      <c r="H69" s="29">
        <f>'Alt_diám tablas producc'!G57</f>
        <v>0.17974273530361798</v>
      </c>
      <c r="I69" s="29">
        <v>0.340225</v>
      </c>
      <c r="J69" s="29">
        <f>'Alt_diám tablas producc'!H57</f>
        <v>0.26196202857543643</v>
      </c>
      <c r="K69" s="29">
        <v>0.39999999999999997</v>
      </c>
      <c r="L69" s="29">
        <f>'Alt_diám tablas producc'!I57</f>
        <v>0.35801687535521448</v>
      </c>
      <c r="M69" s="24" t="s">
        <v>81</v>
      </c>
      <c r="N69" s="35" t="s">
        <v>125</v>
      </c>
    </row>
    <row r="70" spans="1:14" s="4" customFormat="1" hidden="1" x14ac:dyDescent="0.25">
      <c r="A70" s="31" t="s">
        <v>135</v>
      </c>
      <c r="B70" s="81"/>
      <c r="C70" s="28">
        <v>6.0666666666666667E-2</v>
      </c>
      <c r="D70" s="28">
        <v>7.8606305555555561E-2</v>
      </c>
      <c r="E70" s="28">
        <v>7.5833333333333322E-2</v>
      </c>
      <c r="F70" s="28">
        <v>9.8257881944444431E-2</v>
      </c>
      <c r="G70" s="28">
        <v>9.0999999999999998E-2</v>
      </c>
      <c r="H70" s="28">
        <v>0.11790945833333333</v>
      </c>
      <c r="I70" s="28">
        <v>0.15225</v>
      </c>
      <c r="J70" s="28">
        <v>0.19727159375</v>
      </c>
      <c r="K70" s="29">
        <v>0.17399999999999999</v>
      </c>
      <c r="L70" s="28">
        <v>0.22545325000000002</v>
      </c>
      <c r="M70" s="130" t="s">
        <v>128</v>
      </c>
      <c r="N70" s="35" t="s">
        <v>125</v>
      </c>
    </row>
    <row r="71" spans="1:14" hidden="1" x14ac:dyDescent="0.25">
      <c r="A71" s="85" t="s">
        <v>200</v>
      </c>
      <c r="B71" s="77" t="s">
        <v>199</v>
      </c>
      <c r="C71" s="28">
        <v>1.7414482645901213E-2</v>
      </c>
      <c r="D71" s="28">
        <v>2.2564090284982921E-2</v>
      </c>
      <c r="E71" s="28">
        <v>2.1768103307376517E-2</v>
      </c>
      <c r="F71" s="28">
        <v>2.8205112856228648E-2</v>
      </c>
      <c r="G71" s="28">
        <v>2.6121723968851821E-2</v>
      </c>
      <c r="H71" s="28">
        <v>3.3846135427474382E-2</v>
      </c>
      <c r="I71" s="28">
        <v>6.1389279326479446E-2</v>
      </c>
      <c r="J71" s="28">
        <v>7.9542600800647137E-2</v>
      </c>
      <c r="K71" s="28">
        <v>7.0159176373119372E-2</v>
      </c>
      <c r="L71" s="28">
        <v>9.0905829486453871E-2</v>
      </c>
      <c r="M71" s="131" t="s">
        <v>198</v>
      </c>
      <c r="N71" s="35"/>
    </row>
    <row r="72" spans="1:14" hidden="1" x14ac:dyDescent="0.25">
      <c r="A72" s="127" t="s">
        <v>200</v>
      </c>
      <c r="B72" s="126"/>
      <c r="C72" s="28"/>
      <c r="D72" s="28">
        <v>7.332910309194092E-2</v>
      </c>
      <c r="E72" s="28"/>
      <c r="F72" s="28">
        <v>0.13408913811397005</v>
      </c>
      <c r="G72" s="28"/>
      <c r="H72" s="28">
        <v>0.2198004832699853</v>
      </c>
      <c r="I72" s="28"/>
      <c r="J72" s="28">
        <v>0.334057288896078</v>
      </c>
      <c r="K72" s="28"/>
      <c r="L72" s="28">
        <v>0.42209200204030534</v>
      </c>
      <c r="M72" s="133" t="s">
        <v>85</v>
      </c>
      <c r="N72" s="35"/>
    </row>
    <row r="73" spans="1:14" hidden="1" x14ac:dyDescent="0.25">
      <c r="A73" s="84" t="s">
        <v>201</v>
      </c>
      <c r="B73" s="77" t="s">
        <v>199</v>
      </c>
      <c r="C73" s="28">
        <v>0.10742808270298149</v>
      </c>
      <c r="D73" s="28">
        <v>0.13919546199227564</v>
      </c>
      <c r="E73" s="28">
        <v>0.13428510337872684</v>
      </c>
      <c r="F73" s="28">
        <v>0.17399432749034452</v>
      </c>
      <c r="G73" s="28">
        <v>0.16114212405447223</v>
      </c>
      <c r="H73" s="28">
        <v>0.20879319298841345</v>
      </c>
      <c r="I73" s="28">
        <v>0.18799914473021759</v>
      </c>
      <c r="J73" s="28">
        <v>0.24359205848648233</v>
      </c>
      <c r="K73" s="28">
        <v>0.21485616540596297</v>
      </c>
      <c r="L73" s="28">
        <v>0.27839092398455129</v>
      </c>
      <c r="M73" s="131" t="s">
        <v>198</v>
      </c>
      <c r="N73" s="35"/>
    </row>
    <row r="74" spans="1:14" hidden="1" x14ac:dyDescent="0.25">
      <c r="A74" s="31" t="s">
        <v>46</v>
      </c>
      <c r="B74" s="88" t="s">
        <v>203</v>
      </c>
      <c r="C74" s="28">
        <v>6.8000000000000005E-2</v>
      </c>
      <c r="D74" s="28">
        <v>0.11312128666666665</v>
      </c>
      <c r="E74" s="28">
        <v>8.5000000000000006E-2</v>
      </c>
      <c r="F74" s="28">
        <v>0.14140160833333335</v>
      </c>
      <c r="G74" s="28">
        <v>0.10199999999999999</v>
      </c>
      <c r="H74" s="28">
        <v>0.16968192999999995</v>
      </c>
      <c r="I74" s="28">
        <v>0.11899999999999999</v>
      </c>
      <c r="J74" s="28">
        <v>0.19796225166666664</v>
      </c>
      <c r="K74" s="29">
        <v>0.13600000000000001</v>
      </c>
      <c r="L74" s="28">
        <v>0.22624257333333331</v>
      </c>
      <c r="M74" s="130" t="s">
        <v>128</v>
      </c>
      <c r="N74" s="35" t="s">
        <v>137</v>
      </c>
    </row>
    <row r="75" spans="1:14" hidden="1" x14ac:dyDescent="0.25">
      <c r="A75" s="85" t="s">
        <v>46</v>
      </c>
      <c r="B75" s="77" t="s">
        <v>199</v>
      </c>
      <c r="C75" s="28">
        <v>3.3503830928553087E-2</v>
      </c>
      <c r="D75" s="28">
        <v>5.5735242101476262E-2</v>
      </c>
      <c r="E75" s="28">
        <v>5.8341290419510826E-2</v>
      </c>
      <c r="F75" s="28">
        <v>9.7053556441893188E-2</v>
      </c>
      <c r="G75" s="28">
        <v>0.10075270942259493</v>
      </c>
      <c r="H75" s="28">
        <v>0.16760700183877539</v>
      </c>
      <c r="I75" s="28">
        <v>0.11754482765969408</v>
      </c>
      <c r="J75" s="28">
        <v>0.19554150214523794</v>
      </c>
      <c r="K75" s="28">
        <v>0.17605825136816797</v>
      </c>
      <c r="L75" s="28">
        <v>0.29288141063309686</v>
      </c>
      <c r="M75" s="131" t="s">
        <v>198</v>
      </c>
      <c r="N75" s="35"/>
    </row>
    <row r="76" spans="1:14" x14ac:dyDescent="0.25">
      <c r="A76" s="30" t="s">
        <v>47</v>
      </c>
      <c r="B76" s="80" t="s">
        <v>95</v>
      </c>
      <c r="C76" s="29">
        <v>0.67583025830258303</v>
      </c>
      <c r="D76" s="29">
        <f>'Alt_diám tablas producc'!E58</f>
        <v>0.4564333244723322</v>
      </c>
      <c r="E76" s="29">
        <v>1.099248120300752</v>
      </c>
      <c r="F76" s="29">
        <f>'Alt_diám tablas producc'!F58</f>
        <v>0.78694276633853766</v>
      </c>
      <c r="G76" s="29">
        <v>1.552547770700637</v>
      </c>
      <c r="H76" s="29">
        <f>'Alt_diám tablas producc'!G58</f>
        <v>1.1651157738742044</v>
      </c>
      <c r="I76" s="29">
        <v>2.0538759689922479</v>
      </c>
      <c r="J76" s="29">
        <f>'Alt_diám tablas producc'!H58</f>
        <v>1.5580231120134596</v>
      </c>
      <c r="K76" s="29">
        <v>2.5878999999999999</v>
      </c>
      <c r="L76" s="29">
        <f>'Alt_diám tablas producc'!I58</f>
        <v>1.7805978423010973</v>
      </c>
      <c r="M76" s="24" t="s">
        <v>81</v>
      </c>
      <c r="N76" s="35" t="s">
        <v>121</v>
      </c>
    </row>
    <row r="77" spans="1:14" x14ac:dyDescent="0.25">
      <c r="A77" s="31" t="s">
        <v>47</v>
      </c>
      <c r="B77" s="88" t="s">
        <v>203</v>
      </c>
      <c r="C77" s="28">
        <v>0.25600000000000001</v>
      </c>
      <c r="D77" s="28">
        <v>0.26536106666666665</v>
      </c>
      <c r="E77" s="28">
        <v>0.53400000000000003</v>
      </c>
      <c r="F77" s="28">
        <v>0.55352659999999998</v>
      </c>
      <c r="G77" s="28">
        <v>0.92300000000000004</v>
      </c>
      <c r="H77" s="28">
        <v>0.95675103333333333</v>
      </c>
      <c r="I77" s="28">
        <v>1.4350000000000001</v>
      </c>
      <c r="J77" s="28">
        <v>1.4874731666666665</v>
      </c>
      <c r="K77" s="29">
        <v>2.0790000000000002</v>
      </c>
      <c r="L77" s="28">
        <v>2.1550221000000001</v>
      </c>
      <c r="M77" s="130" t="s">
        <v>128</v>
      </c>
      <c r="N77" s="35"/>
    </row>
    <row r="78" spans="1:14" x14ac:dyDescent="0.25">
      <c r="A78" s="85" t="s">
        <v>47</v>
      </c>
      <c r="B78" s="77" t="s">
        <v>199</v>
      </c>
      <c r="C78" s="28">
        <v>0.31777502341536062</v>
      </c>
      <c r="D78" s="28">
        <v>0.32939499677158235</v>
      </c>
      <c r="E78" s="28">
        <v>0.55930534071995763</v>
      </c>
      <c r="F78" s="28">
        <v>0.57975727267895072</v>
      </c>
      <c r="G78" s="28">
        <v>1.1056419210053683</v>
      </c>
      <c r="H78" s="28">
        <v>1.1460715605834644</v>
      </c>
      <c r="I78" s="28">
        <v>1.7462315731181992</v>
      </c>
      <c r="J78" s="28">
        <v>1.8100854409752209</v>
      </c>
      <c r="K78" s="28">
        <v>2.6150138968397703</v>
      </c>
      <c r="L78" s="28">
        <v>2.7106362383342106</v>
      </c>
      <c r="M78" s="131" t="s">
        <v>198</v>
      </c>
      <c r="N78" s="35"/>
    </row>
    <row r="79" spans="1:14" x14ac:dyDescent="0.25">
      <c r="A79" s="127" t="s">
        <v>47</v>
      </c>
      <c r="B79" s="126"/>
      <c r="C79" s="28"/>
      <c r="D79" s="28">
        <v>0.6347880113549772</v>
      </c>
      <c r="E79" s="28"/>
      <c r="F79" s="28">
        <v>1.0173346238390923</v>
      </c>
      <c r="G79" s="28"/>
      <c r="H79" s="28">
        <v>1.4175702293543506</v>
      </c>
      <c r="I79" s="28"/>
      <c r="J79" s="28">
        <v>1.8563619864045695</v>
      </c>
      <c r="K79" s="28"/>
      <c r="L79" s="28">
        <v>2.7347329518756447</v>
      </c>
      <c r="M79" s="133" t="s">
        <v>85</v>
      </c>
      <c r="N79" s="35"/>
    </row>
    <row r="80" spans="1:14" x14ac:dyDescent="0.25">
      <c r="A80" s="792" t="s">
        <v>48</v>
      </c>
      <c r="B80" s="80" t="s">
        <v>288</v>
      </c>
      <c r="C80" s="29">
        <v>4.7578749412317822E-2</v>
      </c>
      <c r="D80" s="29">
        <f>'Alt_diám tablas producc'!E59</f>
        <v>2.0214699176883854E-2</v>
      </c>
      <c r="E80" s="29">
        <v>5.9473436765397278E-2</v>
      </c>
      <c r="F80" s="29">
        <f>'Alt_diám tablas producc'!F59</f>
        <v>5.0853708186201808E-2</v>
      </c>
      <c r="G80" s="29">
        <v>7.1368124118476733E-2</v>
      </c>
      <c r="H80" s="29">
        <f>'Alt_diám tablas producc'!G59</f>
        <v>6.102444982344217E-2</v>
      </c>
      <c r="I80" s="29">
        <v>8.3262811471556189E-2</v>
      </c>
      <c r="J80" s="29">
        <f>'Alt_diám tablas producc'!H59</f>
        <v>0.14704079816421481</v>
      </c>
      <c r="K80" s="29">
        <v>0.17998417721518986</v>
      </c>
      <c r="L80" s="29">
        <f>'Alt_diám tablas producc'!I59</f>
        <v>0.16804662647338833</v>
      </c>
      <c r="M80" s="24" t="s">
        <v>81</v>
      </c>
      <c r="N80" s="35" t="s">
        <v>126</v>
      </c>
    </row>
    <row r="81" spans="1:14" hidden="1" x14ac:dyDescent="0.25">
      <c r="A81" s="799"/>
      <c r="B81" s="80" t="s">
        <v>94</v>
      </c>
      <c r="C81" s="29">
        <v>2.9976019184652279E-2</v>
      </c>
      <c r="D81" s="29">
        <f>'Alt_diám tablas producc'!E60</f>
        <v>3.1639288306640985E-2</v>
      </c>
      <c r="E81" s="29">
        <v>1.0594734367654</v>
      </c>
      <c r="F81" s="29">
        <f>'Alt_diám tablas producc'!F60</f>
        <v>3.9549110383301236E-2</v>
      </c>
      <c r="G81" s="29">
        <v>1.07136812411848</v>
      </c>
      <c r="H81" s="29">
        <f>'Alt_diám tablas producc'!G60</f>
        <v>4.7458932459961474E-2</v>
      </c>
      <c r="I81" s="29">
        <v>1.0832628114715599</v>
      </c>
      <c r="J81" s="29">
        <f>'Alt_diám tablas producc'!H60</f>
        <v>9.1964080011148003E-2</v>
      </c>
      <c r="K81" s="29">
        <v>1.17998417721519</v>
      </c>
      <c r="L81" s="29">
        <f>'Alt_diám tablas producc'!I60</f>
        <v>0.10795822541769297</v>
      </c>
      <c r="M81" s="24" t="s">
        <v>81</v>
      </c>
      <c r="N81" s="35" t="s">
        <v>120</v>
      </c>
    </row>
    <row r="82" spans="1:14" hidden="1" x14ac:dyDescent="0.25">
      <c r="A82" s="800"/>
      <c r="B82" s="80" t="s">
        <v>96</v>
      </c>
      <c r="C82" s="29"/>
      <c r="D82" s="29">
        <f>'Alt_diám tablas producc'!E61</f>
        <v>4.3635426256541009E-2</v>
      </c>
      <c r="E82" s="29">
        <v>2.0594734367654</v>
      </c>
      <c r="F82" s="29">
        <f>'Alt_diám tablas producc'!F61</f>
        <v>5.4544282820676256E-2</v>
      </c>
      <c r="G82" s="29">
        <v>2.07136812411848</v>
      </c>
      <c r="H82" s="29">
        <f>'Alt_diám tablas producc'!G61</f>
        <v>6.545313938481151E-2</v>
      </c>
      <c r="I82" s="29">
        <v>2.0832628114715601</v>
      </c>
      <c r="J82" s="29">
        <f>'Alt_diám tablas producc'!H61</f>
        <v>0.10950251840392226</v>
      </c>
      <c r="K82" s="29">
        <v>2.1799841772151902</v>
      </c>
      <c r="L82" s="29">
        <f>'Alt_diám tablas producc'!I61</f>
        <v>0.16625264941496601</v>
      </c>
      <c r="M82" s="24" t="s">
        <v>81</v>
      </c>
      <c r="N82" s="35"/>
    </row>
    <row r="83" spans="1:14" x14ac:dyDescent="0.25">
      <c r="A83" s="31" t="s">
        <v>48</v>
      </c>
      <c r="B83" s="88" t="s">
        <v>203</v>
      </c>
      <c r="C83" s="28">
        <v>6.2E-2</v>
      </c>
      <c r="D83" s="28">
        <v>9.0135393333333313E-2</v>
      </c>
      <c r="E83" s="28">
        <v>7.7499999999999999E-2</v>
      </c>
      <c r="F83" s="28">
        <v>0.11266924166666666</v>
      </c>
      <c r="G83" s="28">
        <v>9.2999999999999999E-2</v>
      </c>
      <c r="H83" s="28">
        <v>0.13520308999999997</v>
      </c>
      <c r="I83" s="28">
        <v>0.1085</v>
      </c>
      <c r="J83" s="28">
        <v>0.15773693833333333</v>
      </c>
      <c r="K83" s="29">
        <v>0.124</v>
      </c>
      <c r="L83" s="28">
        <v>0.18027078666666663</v>
      </c>
      <c r="M83" s="130" t="s">
        <v>128</v>
      </c>
      <c r="N83" s="35" t="s">
        <v>137</v>
      </c>
    </row>
    <row r="84" spans="1:14" x14ac:dyDescent="0.25">
      <c r="A84" s="85" t="s">
        <v>48</v>
      </c>
      <c r="B84" s="77" t="s">
        <v>199</v>
      </c>
      <c r="C84" s="28">
        <v>2.5368496278808071E-2</v>
      </c>
      <c r="D84" s="28">
        <v>3.6880635328476907E-2</v>
      </c>
      <c r="E84" s="28">
        <v>6.40322140670921E-2</v>
      </c>
      <c r="F84" s="28">
        <v>9.3089819370024932E-2</v>
      </c>
      <c r="G84" s="28">
        <v>7.6838656880510517E-2</v>
      </c>
      <c r="H84" s="28">
        <v>0.11170778324402991</v>
      </c>
      <c r="I84" s="28">
        <v>0.13420830181283941</v>
      </c>
      <c r="J84" s="28">
        <v>0.19511158181449983</v>
      </c>
      <c r="K84" s="28">
        <v>0.15338091635753076</v>
      </c>
      <c r="L84" s="28">
        <v>0.222984664930857</v>
      </c>
      <c r="M84" s="131" t="s">
        <v>198</v>
      </c>
      <c r="N84" s="35"/>
    </row>
    <row r="85" spans="1:14" x14ac:dyDescent="0.25">
      <c r="A85" s="127" t="s">
        <v>48</v>
      </c>
      <c r="B85" s="126" t="s">
        <v>229</v>
      </c>
      <c r="C85" s="28"/>
      <c r="D85" s="28">
        <v>6.818251395571974E-2</v>
      </c>
      <c r="E85" s="28"/>
      <c r="F85" s="28">
        <v>0.11328301245370812</v>
      </c>
      <c r="G85" s="28"/>
      <c r="H85" s="28">
        <v>0.25256765800093695</v>
      </c>
      <c r="I85" s="28"/>
      <c r="J85" s="28">
        <v>0.42436886474774788</v>
      </c>
      <c r="K85" s="28"/>
      <c r="L85" s="28">
        <v>0.62140325587320611</v>
      </c>
      <c r="M85" s="133" t="s">
        <v>85</v>
      </c>
      <c r="N85" s="35"/>
    </row>
    <row r="86" spans="1:14" hidden="1" x14ac:dyDescent="0.25">
      <c r="A86" s="31" t="s">
        <v>49</v>
      </c>
      <c r="B86" s="88" t="s">
        <v>203</v>
      </c>
      <c r="C86" s="28">
        <v>3.2000000000000001E-2</v>
      </c>
      <c r="D86" s="28">
        <v>4.9564533333333334E-2</v>
      </c>
      <c r="E86" s="28">
        <v>0.04</v>
      </c>
      <c r="F86" s="28">
        <v>6.1955666666666666E-2</v>
      </c>
      <c r="G86" s="28">
        <v>4.8000000000000001E-2</v>
      </c>
      <c r="H86" s="28">
        <v>7.4346800000000005E-2</v>
      </c>
      <c r="I86" s="28">
        <v>5.6000000000000001E-2</v>
      </c>
      <c r="J86" s="28">
        <v>8.6737933333333336E-2</v>
      </c>
      <c r="K86" s="29">
        <v>6.4000000000000001E-2</v>
      </c>
      <c r="L86" s="28">
        <v>9.9129066666666668E-2</v>
      </c>
      <c r="M86" s="130" t="s">
        <v>128</v>
      </c>
      <c r="N86" s="35" t="s">
        <v>129</v>
      </c>
    </row>
    <row r="87" spans="1:14" hidden="1" x14ac:dyDescent="0.25">
      <c r="A87" s="85" t="s">
        <v>49</v>
      </c>
      <c r="B87" s="77" t="s">
        <v>199</v>
      </c>
      <c r="C87" s="28">
        <v>2.3631844082256638E-2</v>
      </c>
      <c r="D87" s="28">
        <v>3.6603166366973285E-2</v>
      </c>
      <c r="E87" s="28">
        <v>2.9539805102820796E-2</v>
      </c>
      <c r="F87" s="28">
        <v>4.5753957958716604E-2</v>
      </c>
      <c r="G87" s="28">
        <v>5.8196712673332089E-2</v>
      </c>
      <c r="H87" s="28">
        <v>9.0140403287118462E-2</v>
      </c>
      <c r="I87" s="28">
        <v>6.7896164785554103E-2</v>
      </c>
      <c r="J87" s="28">
        <v>0.10516380383497152</v>
      </c>
      <c r="K87" s="28">
        <v>7.759561689777611E-2</v>
      </c>
      <c r="L87" s="28">
        <v>0.12018720438282458</v>
      </c>
      <c r="M87" s="131" t="s">
        <v>198</v>
      </c>
      <c r="N87" s="35"/>
    </row>
    <row r="88" spans="1:14" hidden="1" x14ac:dyDescent="0.25">
      <c r="A88" s="2" t="s">
        <v>50</v>
      </c>
      <c r="B88" s="79"/>
      <c r="C88" s="29"/>
      <c r="D88" s="28"/>
      <c r="E88" s="28"/>
      <c r="F88" s="28"/>
      <c r="G88" s="28"/>
      <c r="H88" s="28"/>
      <c r="I88" s="29"/>
      <c r="J88" s="29"/>
      <c r="K88" s="29"/>
      <c r="L88" s="29"/>
      <c r="M88" s="132"/>
      <c r="N88" s="35"/>
    </row>
    <row r="89" spans="1:14" hidden="1" x14ac:dyDescent="0.25">
      <c r="A89" s="2" t="s">
        <v>51</v>
      </c>
      <c r="B89" s="79"/>
      <c r="C89" s="29"/>
      <c r="D89" s="28"/>
      <c r="E89" s="28"/>
      <c r="F89" s="28"/>
      <c r="G89" s="28"/>
      <c r="H89" s="28"/>
      <c r="I89" s="29"/>
      <c r="J89" s="29"/>
      <c r="K89" s="29"/>
      <c r="L89" s="29"/>
      <c r="M89" s="132"/>
      <c r="N89" s="35"/>
    </row>
    <row r="90" spans="1:14" hidden="1" x14ac:dyDescent="0.25">
      <c r="A90" s="84" t="s">
        <v>108</v>
      </c>
      <c r="B90" s="77" t="s">
        <v>199</v>
      </c>
      <c r="C90" s="28">
        <v>0.13331567677235068</v>
      </c>
      <c r="D90" s="28">
        <v>0.20654286732427818</v>
      </c>
      <c r="E90" s="28">
        <v>0.29653007932906505</v>
      </c>
      <c r="F90" s="28">
        <v>0.45940713286933604</v>
      </c>
      <c r="G90" s="28">
        <v>0.43352669931402832</v>
      </c>
      <c r="H90" s="28">
        <v>0.67165279962424007</v>
      </c>
      <c r="I90" s="28">
        <v>0.59561593058269391</v>
      </c>
      <c r="J90" s="28">
        <v>0.92277386354672075</v>
      </c>
      <c r="K90" s="28">
        <v>0.81528022188747196</v>
      </c>
      <c r="L90" s="28">
        <v>1.2630946245650829</v>
      </c>
      <c r="M90" s="131" t="s">
        <v>198</v>
      </c>
      <c r="N90" s="35"/>
    </row>
    <row r="91" spans="1:14" hidden="1" x14ac:dyDescent="0.25">
      <c r="A91" s="31" t="s">
        <v>52</v>
      </c>
      <c r="B91" s="88" t="s">
        <v>203</v>
      </c>
      <c r="C91" s="28">
        <v>0.218</v>
      </c>
      <c r="D91" s="28">
        <v>0.33774231333333332</v>
      </c>
      <c r="E91" s="28">
        <v>0.38100000000000001</v>
      </c>
      <c r="F91" s="28">
        <v>0.59027441000000003</v>
      </c>
      <c r="G91" s="28">
        <v>0.57399999999999995</v>
      </c>
      <c r="H91" s="28">
        <v>0.88928480666666643</v>
      </c>
      <c r="I91" s="28">
        <v>0.79300000000000004</v>
      </c>
      <c r="J91" s="28">
        <v>1.228576396666667</v>
      </c>
      <c r="K91" s="29">
        <v>1.036</v>
      </c>
      <c r="L91" s="28">
        <v>1.6050506266666669</v>
      </c>
      <c r="M91" s="130" t="s">
        <v>128</v>
      </c>
      <c r="N91" s="35"/>
    </row>
    <row r="92" spans="1:14" hidden="1" x14ac:dyDescent="0.25">
      <c r="A92" s="85" t="s">
        <v>52</v>
      </c>
      <c r="B92" s="77" t="s">
        <v>199</v>
      </c>
      <c r="C92" s="28">
        <v>0.18430681403256532</v>
      </c>
      <c r="D92" s="28">
        <v>0.28554224648832599</v>
      </c>
      <c r="E92" s="28">
        <v>0.46475194136522141</v>
      </c>
      <c r="F92" s="28">
        <v>0.72002933854517226</v>
      </c>
      <c r="G92" s="28">
        <v>0.64962248187758487</v>
      </c>
      <c r="H92" s="28">
        <v>1.0064449533150317</v>
      </c>
      <c r="I92" s="28">
        <v>0.93269311968610946</v>
      </c>
      <c r="J92" s="28">
        <v>1.44499968749023</v>
      </c>
      <c r="K92" s="28">
        <v>1.2235395364888055</v>
      </c>
      <c r="L92" s="28">
        <v>1.8956012546262551</v>
      </c>
      <c r="M92" s="131" t="s">
        <v>198</v>
      </c>
      <c r="N92" s="35"/>
    </row>
    <row r="93" spans="1:14" hidden="1" x14ac:dyDescent="0.25">
      <c r="A93" s="84" t="s">
        <v>194</v>
      </c>
      <c r="B93" s="77" t="s">
        <v>199</v>
      </c>
      <c r="C93" s="28">
        <v>0.21841359949394204</v>
      </c>
      <c r="D93" s="28">
        <v>0.33838309337864286</v>
      </c>
      <c r="E93" s="28">
        <v>0.51973169525491636</v>
      </c>
      <c r="F93" s="28">
        <v>0.80520818838555264</v>
      </c>
      <c r="G93" s="28">
        <v>0.75996873280127686</v>
      </c>
      <c r="H93" s="28">
        <v>1.1774018251252529</v>
      </c>
      <c r="I93" s="28">
        <v>1.0033584896898251</v>
      </c>
      <c r="J93" s="28">
        <v>1.5544798963783533</v>
      </c>
      <c r="K93" s="28">
        <v>1.3062334225151486</v>
      </c>
      <c r="L93" s="28">
        <v>2.0237169627228608</v>
      </c>
      <c r="M93" s="131" t="s">
        <v>198</v>
      </c>
      <c r="N93" s="35"/>
    </row>
    <row r="94" spans="1:14" hidden="1" x14ac:dyDescent="0.25">
      <c r="A94" s="2" t="s">
        <v>53</v>
      </c>
      <c r="B94" s="79"/>
      <c r="C94" s="29"/>
      <c r="D94" s="28"/>
      <c r="E94" s="28"/>
      <c r="F94" s="28"/>
      <c r="G94" s="28"/>
      <c r="H94" s="28"/>
      <c r="I94" s="29"/>
      <c r="J94" s="28"/>
      <c r="K94" s="29"/>
      <c r="L94" s="29"/>
      <c r="M94" s="132"/>
      <c r="N94" s="35"/>
    </row>
    <row r="95" spans="1:14" hidden="1" x14ac:dyDescent="0.25">
      <c r="A95" s="84" t="s">
        <v>54</v>
      </c>
      <c r="B95" s="77" t="s">
        <v>199</v>
      </c>
      <c r="C95" s="28">
        <v>0.1588783245860548</v>
      </c>
      <c r="D95" s="28">
        <v>0.35046440026022546</v>
      </c>
      <c r="E95" s="28">
        <v>0.33067416033692204</v>
      </c>
      <c r="F95" s="28">
        <v>0.72942310781520503</v>
      </c>
      <c r="G95" s="28">
        <v>0.52057743788682687</v>
      </c>
      <c r="H95" s="28">
        <v>1.1483244176532885</v>
      </c>
      <c r="I95" s="28">
        <v>0.61808392924993483</v>
      </c>
      <c r="J95" s="28">
        <v>1.3634107367347896</v>
      </c>
      <c r="K95" s="28">
        <v>0.84738961741264107</v>
      </c>
      <c r="L95" s="28">
        <v>1.8692285107299644</v>
      </c>
      <c r="M95" s="131" t="s">
        <v>198</v>
      </c>
      <c r="N95" s="35"/>
    </row>
    <row r="96" spans="1:14" x14ac:dyDescent="0.25">
      <c r="A96" s="84" t="s">
        <v>195</v>
      </c>
      <c r="B96" s="77" t="s">
        <v>199</v>
      </c>
      <c r="C96" s="28">
        <v>0.33402828749429769</v>
      </c>
      <c r="D96" s="28">
        <v>0.34624258854033912</v>
      </c>
      <c r="E96" s="28">
        <v>0.61179325145087948</v>
      </c>
      <c r="F96" s="28">
        <v>0.63416449134559993</v>
      </c>
      <c r="G96" s="28">
        <v>1.2507329958097388</v>
      </c>
      <c r="H96" s="28">
        <v>1.2964681323565146</v>
      </c>
      <c r="I96" s="28">
        <v>2.7761715625814669</v>
      </c>
      <c r="J96" s="28">
        <v>2.8776869027198599</v>
      </c>
      <c r="K96" s="28">
        <v>3.2847516435067581</v>
      </c>
      <c r="L96" s="28">
        <v>3.4048640619376549</v>
      </c>
      <c r="M96" s="131" t="s">
        <v>198</v>
      </c>
      <c r="N96" s="35"/>
    </row>
    <row r="97" spans="1:14" hidden="1" x14ac:dyDescent="0.25">
      <c r="A97" s="2" t="s">
        <v>55</v>
      </c>
      <c r="B97" s="79"/>
      <c r="C97" s="28"/>
      <c r="D97" s="28"/>
      <c r="E97" s="28"/>
      <c r="F97" s="28"/>
      <c r="G97" s="28"/>
      <c r="H97" s="29"/>
      <c r="I97" s="29"/>
      <c r="J97" s="29"/>
      <c r="K97" s="29"/>
      <c r="L97" s="28"/>
      <c r="M97" s="132"/>
      <c r="N97" s="35"/>
    </row>
    <row r="98" spans="1:14" hidden="1" x14ac:dyDescent="0.25">
      <c r="A98" s="84" t="s">
        <v>165</v>
      </c>
      <c r="B98" s="77" t="s">
        <v>199</v>
      </c>
      <c r="C98" s="28">
        <v>1.7875108881303933E-2</v>
      </c>
      <c r="D98" s="28">
        <v>4.8828839094095237E-2</v>
      </c>
      <c r="E98" s="28">
        <v>2.2343886101629917E-2</v>
      </c>
      <c r="F98" s="28">
        <v>6.1036048867619055E-2</v>
      </c>
      <c r="G98" s="28">
        <v>4.6570343702280768E-2</v>
      </c>
      <c r="H98" s="28">
        <v>0.12721465554673028</v>
      </c>
      <c r="I98" s="28">
        <v>5.4332067652660895E-2</v>
      </c>
      <c r="J98" s="28">
        <v>0.148417098137852</v>
      </c>
      <c r="K98" s="28">
        <v>6.2093791603041029E-2</v>
      </c>
      <c r="L98" s="28">
        <v>0.16961954072897373</v>
      </c>
      <c r="M98" s="131" t="s">
        <v>198</v>
      </c>
      <c r="N98" s="35"/>
    </row>
    <row r="99" spans="1:14" hidden="1" x14ac:dyDescent="0.25">
      <c r="A99" s="31" t="s">
        <v>57</v>
      </c>
      <c r="B99" s="88" t="s">
        <v>203</v>
      </c>
      <c r="C99" s="28">
        <v>3.5333333333333328E-2</v>
      </c>
      <c r="D99" s="28">
        <v>9.7572823333333336E-2</v>
      </c>
      <c r="E99" s="28">
        <v>4.4166666666666667E-2</v>
      </c>
      <c r="F99" s="28">
        <v>0.12196602916666668</v>
      </c>
      <c r="G99" s="28">
        <v>5.2999999999999999E-2</v>
      </c>
      <c r="H99" s="28">
        <v>0.146359235</v>
      </c>
      <c r="I99" s="28">
        <v>6.183333333333333E-2</v>
      </c>
      <c r="J99" s="28">
        <v>0.17075244083333332</v>
      </c>
      <c r="K99" s="29">
        <v>7.0666666666666655E-2</v>
      </c>
      <c r="L99" s="28">
        <v>0.19514564666666667</v>
      </c>
      <c r="M99" s="130" t="s">
        <v>128</v>
      </c>
      <c r="N99" s="35" t="s">
        <v>129</v>
      </c>
    </row>
    <row r="100" spans="1:14" hidden="1" x14ac:dyDescent="0.25">
      <c r="A100" s="85" t="s">
        <v>57</v>
      </c>
      <c r="B100" s="77" t="s">
        <v>199</v>
      </c>
      <c r="C100" s="28">
        <v>1.4848292609940923E-2</v>
      </c>
      <c r="D100" s="28">
        <v>4.1003485800888813E-2</v>
      </c>
      <c r="E100" s="28">
        <v>1.8560365762426152E-2</v>
      </c>
      <c r="F100" s="28">
        <v>5.1254357251111014E-2</v>
      </c>
      <c r="G100" s="28">
        <v>3.5327485281266127E-2</v>
      </c>
      <c r="H100" s="28">
        <v>9.7556673966789992E-2</v>
      </c>
      <c r="I100" s="28">
        <v>4.1215399494810484E-2</v>
      </c>
      <c r="J100" s="28">
        <v>0.11381611962792167</v>
      </c>
      <c r="K100" s="28">
        <v>4.7103313708354841E-2</v>
      </c>
      <c r="L100" s="28">
        <v>0.13007556528905334</v>
      </c>
      <c r="M100" s="131" t="s">
        <v>198</v>
      </c>
      <c r="N100" s="35"/>
    </row>
    <row r="101" spans="1:14" hidden="1" x14ac:dyDescent="0.25">
      <c r="A101" s="84" t="s">
        <v>58</v>
      </c>
      <c r="B101" s="77" t="s">
        <v>199</v>
      </c>
      <c r="C101" s="28">
        <v>1.4033784511862425E-2</v>
      </c>
      <c r="D101" s="28">
        <v>4.3569848746908557E-2</v>
      </c>
      <c r="E101" s="28">
        <v>1.754223063982803E-2</v>
      </c>
      <c r="F101" s="28">
        <v>5.4462310933635683E-2</v>
      </c>
      <c r="G101" s="28">
        <v>2.1050676767793638E-2</v>
      </c>
      <c r="H101" s="28">
        <v>6.5354773120362836E-2</v>
      </c>
      <c r="I101" s="28">
        <v>3.3104626383453767E-2</v>
      </c>
      <c r="J101" s="28">
        <v>0.1027779472551259</v>
      </c>
      <c r="K101" s="28">
        <v>3.7833858723947164E-2</v>
      </c>
      <c r="L101" s="28">
        <v>0.11746051114871532</v>
      </c>
      <c r="M101" s="131" t="s">
        <v>198</v>
      </c>
      <c r="N101" s="35"/>
    </row>
    <row r="102" spans="1:14" hidden="1" x14ac:dyDescent="0.25">
      <c r="A102" s="237" t="s">
        <v>58</v>
      </c>
      <c r="B102" s="246" t="s">
        <v>199</v>
      </c>
      <c r="C102" s="29" t="e">
        <f>#REF!</f>
        <v>#REF!</v>
      </c>
      <c r="D102" s="29" t="e">
        <f>#REF!</f>
        <v>#REF!</v>
      </c>
      <c r="E102" s="29" t="e">
        <f>#REF!</f>
        <v>#REF!</v>
      </c>
      <c r="F102" s="29" t="e">
        <f>#REF!</f>
        <v>#REF!</v>
      </c>
      <c r="G102" s="29" t="e">
        <f>#REF!</f>
        <v>#REF!</v>
      </c>
      <c r="H102" s="29" t="e">
        <f>#REF!</f>
        <v>#REF!</v>
      </c>
      <c r="I102" s="29" t="e">
        <f>#REF!</f>
        <v>#REF!</v>
      </c>
      <c r="J102" s="29" t="e">
        <f>#REF!</f>
        <v>#REF!</v>
      </c>
      <c r="K102" s="29" t="e">
        <f>#REF!</f>
        <v>#REF!</v>
      </c>
      <c r="L102" s="29" t="e">
        <f>#REF!</f>
        <v>#REF!</v>
      </c>
      <c r="M102" s="245" t="s">
        <v>413</v>
      </c>
      <c r="N102" s="35"/>
    </row>
    <row r="103" spans="1:14" hidden="1" x14ac:dyDescent="0.25">
      <c r="A103" s="31" t="s">
        <v>59</v>
      </c>
      <c r="B103" s="88" t="s">
        <v>203</v>
      </c>
      <c r="C103" s="28">
        <v>3.7999999999999999E-2</v>
      </c>
      <c r="D103" s="28">
        <v>7.9411640000000006E-2</v>
      </c>
      <c r="E103" s="28">
        <v>4.7500000000000001E-2</v>
      </c>
      <c r="F103" s="28">
        <v>9.9264549999999993E-2</v>
      </c>
      <c r="G103" s="28">
        <v>5.7000000000000002E-2</v>
      </c>
      <c r="H103" s="28">
        <v>0.11911745999999999</v>
      </c>
      <c r="I103" s="28">
        <v>6.6500000000000004E-2</v>
      </c>
      <c r="J103" s="28">
        <v>0.13897037000000001</v>
      </c>
      <c r="K103" s="29">
        <v>7.5999999999999998E-2</v>
      </c>
      <c r="L103" s="28">
        <v>0.15882328000000001</v>
      </c>
      <c r="M103" s="130" t="s">
        <v>128</v>
      </c>
      <c r="N103" s="35" t="s">
        <v>129</v>
      </c>
    </row>
    <row r="104" spans="1:14" hidden="1" x14ac:dyDescent="0.25">
      <c r="A104" s="85" t="s">
        <v>59</v>
      </c>
      <c r="B104" s="77" t="s">
        <v>199</v>
      </c>
      <c r="C104" s="28">
        <v>2.6624296652618271E-2</v>
      </c>
      <c r="D104" s="28">
        <v>5.5638922658708602E-2</v>
      </c>
      <c r="E104" s="28">
        <v>3.3280370815772835E-2</v>
      </c>
      <c r="F104" s="28">
        <v>6.9548653323385751E-2</v>
      </c>
      <c r="G104" s="28">
        <v>8.5655255515471082E-2</v>
      </c>
      <c r="H104" s="28">
        <v>0.17900063987112114</v>
      </c>
      <c r="I104" s="28">
        <v>9.9931131434716255E-2</v>
      </c>
      <c r="J104" s="28">
        <v>0.20883407984964134</v>
      </c>
      <c r="K104" s="28">
        <v>0.11420700735396144</v>
      </c>
      <c r="L104" s="28">
        <v>0.23866751982816153</v>
      </c>
      <c r="M104" s="131" t="s">
        <v>198</v>
      </c>
      <c r="N104" s="35"/>
    </row>
    <row r="105" spans="1:14" hidden="1" x14ac:dyDescent="0.25">
      <c r="A105" s="84" t="s">
        <v>60</v>
      </c>
      <c r="B105" s="77" t="s">
        <v>199</v>
      </c>
      <c r="C105" s="28">
        <v>3.0960646267520889E-2</v>
      </c>
      <c r="D105" s="28">
        <v>6.8552185747233832E-2</v>
      </c>
      <c r="E105" s="28">
        <v>5.5535418063081127E-2</v>
      </c>
      <c r="F105" s="28">
        <v>0.12296494917176243</v>
      </c>
      <c r="G105" s="28">
        <v>6.6642501675697352E-2</v>
      </c>
      <c r="H105" s="28">
        <v>0.14755793900611491</v>
      </c>
      <c r="I105" s="28">
        <v>0.10425333573826619</v>
      </c>
      <c r="J105" s="28">
        <v>0.23083478214715636</v>
      </c>
      <c r="K105" s="28">
        <v>0.11914666941516135</v>
      </c>
      <c r="L105" s="28">
        <v>0.26381117959675016</v>
      </c>
      <c r="M105" s="131" t="s">
        <v>198</v>
      </c>
      <c r="N105" s="35"/>
    </row>
    <row r="106" spans="1:14" hidden="1" x14ac:dyDescent="0.25">
      <c r="A106" s="31" t="s">
        <v>61</v>
      </c>
      <c r="B106" s="88" t="s">
        <v>203</v>
      </c>
      <c r="C106" s="28">
        <v>3.8399999999999997E-2</v>
      </c>
      <c r="D106" s="28">
        <v>0.10572883199999998</v>
      </c>
      <c r="E106" s="28">
        <v>4.8000000000000001E-2</v>
      </c>
      <c r="F106" s="28">
        <v>0.13216104000000001</v>
      </c>
      <c r="G106" s="28">
        <v>5.7599999999999991E-2</v>
      </c>
      <c r="H106" s="28">
        <v>0.15859324799999999</v>
      </c>
      <c r="I106" s="28">
        <v>6.720000000000001E-2</v>
      </c>
      <c r="J106" s="28">
        <v>0.18502545600000006</v>
      </c>
      <c r="K106" s="29">
        <v>7.6799999999999993E-2</v>
      </c>
      <c r="L106" s="28">
        <v>0.21145766399999996</v>
      </c>
      <c r="M106" s="130" t="s">
        <v>128</v>
      </c>
      <c r="N106" s="35" t="s">
        <v>129</v>
      </c>
    </row>
    <row r="107" spans="1:14" hidden="1" x14ac:dyDescent="0.25">
      <c r="A107" s="85" t="s">
        <v>61</v>
      </c>
      <c r="B107" s="77" t="s">
        <v>199</v>
      </c>
      <c r="C107" s="28">
        <v>1.9354648683058993E-2</v>
      </c>
      <c r="D107" s="28">
        <v>5.3290218724743897E-2</v>
      </c>
      <c r="E107" s="28">
        <v>2.4193310853823743E-2</v>
      </c>
      <c r="F107" s="28">
        <v>6.6612773405929887E-2</v>
      </c>
      <c r="G107" s="28">
        <v>5.3727881844045491E-2</v>
      </c>
      <c r="H107" s="28">
        <v>0.14793193211471187</v>
      </c>
      <c r="I107" s="28">
        <v>6.2682528818053071E-2</v>
      </c>
      <c r="J107" s="28">
        <v>0.17258725413383053</v>
      </c>
      <c r="K107" s="28">
        <v>7.1637175792060651E-2</v>
      </c>
      <c r="L107" s="28">
        <v>0.19724257615294916</v>
      </c>
      <c r="M107" s="131" t="s">
        <v>198</v>
      </c>
      <c r="N107" s="35"/>
    </row>
    <row r="108" spans="1:14" x14ac:dyDescent="0.25">
      <c r="A108" s="30" t="s">
        <v>62</v>
      </c>
      <c r="B108" s="80" t="s">
        <v>227</v>
      </c>
      <c r="C108" s="28"/>
      <c r="D108" s="28">
        <v>2.4741729460580914E-2</v>
      </c>
      <c r="E108" s="28"/>
      <c r="F108" s="28">
        <v>4.2108132132132131E-2</v>
      </c>
      <c r="G108" s="28"/>
      <c r="H108" s="28">
        <v>9.8011439904799699E-2</v>
      </c>
      <c r="I108" s="28"/>
      <c r="J108" s="28">
        <v>0.2209103448275862</v>
      </c>
      <c r="K108" s="28"/>
      <c r="L108" s="28">
        <v>0.4726752487309645</v>
      </c>
      <c r="M108" s="24" t="s">
        <v>81</v>
      </c>
      <c r="N108" s="35"/>
    </row>
    <row r="109" spans="1:14" x14ac:dyDescent="0.25">
      <c r="A109" s="31" t="s">
        <v>62</v>
      </c>
      <c r="B109" s="88" t="s">
        <v>203</v>
      </c>
      <c r="C109" s="28">
        <v>5.6500000000000002E-2</v>
      </c>
      <c r="D109" s="28">
        <v>0.11807257</v>
      </c>
      <c r="E109" s="28">
        <v>7.0624999999999993E-2</v>
      </c>
      <c r="F109" s="28">
        <v>0.1475907125</v>
      </c>
      <c r="G109" s="28">
        <v>8.4750000000000006E-2</v>
      </c>
      <c r="H109" s="28">
        <v>0.17710885500000004</v>
      </c>
      <c r="I109" s="28">
        <v>9.8875000000000005E-2</v>
      </c>
      <c r="J109" s="28">
        <v>0.20662699749999999</v>
      </c>
      <c r="K109" s="29">
        <v>0.113</v>
      </c>
      <c r="L109" s="28">
        <v>0.23614514</v>
      </c>
      <c r="M109" s="130" t="s">
        <v>128</v>
      </c>
      <c r="N109" s="35" t="s">
        <v>134</v>
      </c>
    </row>
    <row r="110" spans="1:14" x14ac:dyDescent="0.25">
      <c r="A110" s="85" t="s">
        <v>62</v>
      </c>
      <c r="B110" s="77" t="s">
        <v>199</v>
      </c>
      <c r="C110" s="28">
        <v>3.3837493759715447E-2</v>
      </c>
      <c r="D110" s="28">
        <v>7.0712917709178133E-2</v>
      </c>
      <c r="E110" s="28">
        <v>7.6750370757631942E-2</v>
      </c>
      <c r="F110" s="28">
        <v>0.16039138980188405</v>
      </c>
      <c r="G110" s="28">
        <v>9.2100444909158335E-2</v>
      </c>
      <c r="H110" s="28">
        <v>0.1924696677622609</v>
      </c>
      <c r="I110" s="28">
        <v>0.10745051906068473</v>
      </c>
      <c r="J110" s="28">
        <v>0.2245479457226377</v>
      </c>
      <c r="K110" s="28">
        <v>0.16228837751151071</v>
      </c>
      <c r="L110" s="28">
        <v>0.3391470055560048</v>
      </c>
      <c r="M110" s="131" t="s">
        <v>198</v>
      </c>
      <c r="N110" s="35"/>
    </row>
    <row r="111" spans="1:14" x14ac:dyDescent="0.25">
      <c r="A111" s="127" t="s">
        <v>62</v>
      </c>
      <c r="B111" s="126" t="s">
        <v>231</v>
      </c>
      <c r="C111" s="28"/>
      <c r="D111" s="28">
        <v>3.3775316398753537E-2</v>
      </c>
      <c r="E111" s="28"/>
      <c r="F111" s="28">
        <v>5.9661138638327713E-2</v>
      </c>
      <c r="G111" s="28"/>
      <c r="H111" s="28">
        <v>0.1188606916457756</v>
      </c>
      <c r="I111" s="28"/>
      <c r="J111" s="28">
        <v>0.21498591506157547</v>
      </c>
      <c r="K111" s="28"/>
      <c r="L111" s="28">
        <v>0.34811559038749534</v>
      </c>
      <c r="M111" s="133" t="s">
        <v>85</v>
      </c>
      <c r="N111" s="35"/>
    </row>
    <row r="112" spans="1:14" hidden="1" x14ac:dyDescent="0.25">
      <c r="A112" s="84" t="s">
        <v>98</v>
      </c>
      <c r="B112" s="77" t="s">
        <v>199</v>
      </c>
      <c r="C112" s="28">
        <v>3.6271193707291177E-2</v>
      </c>
      <c r="D112" s="28">
        <v>7.2189347795831374E-2</v>
      </c>
      <c r="E112" s="28">
        <v>9.2760006106566914E-2</v>
      </c>
      <c r="F112" s="28">
        <v>0.18461714815369659</v>
      </c>
      <c r="G112" s="28">
        <v>0.1113120073278803</v>
      </c>
      <c r="H112" s="28">
        <v>0.22154057778443589</v>
      </c>
      <c r="I112" s="28">
        <v>0.1744750679670522</v>
      </c>
      <c r="J112" s="28">
        <v>0.34725191193922511</v>
      </c>
      <c r="K112" s="28">
        <v>0.19940007767663109</v>
      </c>
      <c r="L112" s="28">
        <v>0.39685932793054296</v>
      </c>
      <c r="M112" s="131" t="s">
        <v>198</v>
      </c>
      <c r="N112" s="35"/>
    </row>
    <row r="113" spans="1:14" hidden="1" x14ac:dyDescent="0.25">
      <c r="A113" s="84" t="s">
        <v>104</v>
      </c>
      <c r="B113" s="77" t="s">
        <v>199</v>
      </c>
      <c r="C113" s="28">
        <v>2.8768468145291475E-2</v>
      </c>
      <c r="D113" s="28">
        <v>8.9315736942597715E-2</v>
      </c>
      <c r="E113" s="28">
        <v>3.5960585181614345E-2</v>
      </c>
      <c r="F113" s="28">
        <v>0.11164467117824715</v>
      </c>
      <c r="G113" s="28">
        <v>4.96763616512092E-2</v>
      </c>
      <c r="H113" s="28">
        <v>0.15422721943681011</v>
      </c>
      <c r="I113" s="28">
        <v>5.7955755259744064E-2</v>
      </c>
      <c r="J113" s="28">
        <v>0.17993175600961181</v>
      </c>
      <c r="K113" s="28">
        <v>6.6235148868278929E-2</v>
      </c>
      <c r="L113" s="28">
        <v>0.20563629258241348</v>
      </c>
      <c r="M113" s="131" t="s">
        <v>198</v>
      </c>
      <c r="N113" s="35"/>
    </row>
    <row r="114" spans="1:14" hidden="1" x14ac:dyDescent="0.25">
      <c r="A114" s="237" t="s">
        <v>104</v>
      </c>
      <c r="B114" s="246" t="s">
        <v>199</v>
      </c>
      <c r="C114" s="29" t="e">
        <f>#REF!</f>
        <v>#REF!</v>
      </c>
      <c r="D114" s="29" t="e">
        <f>#REF!</f>
        <v>#REF!</v>
      </c>
      <c r="E114" s="29" t="e">
        <f>#REF!</f>
        <v>#REF!</v>
      </c>
      <c r="F114" s="29" t="e">
        <f>#REF!</f>
        <v>#REF!</v>
      </c>
      <c r="G114" s="29" t="e">
        <f>#REF!</f>
        <v>#REF!</v>
      </c>
      <c r="H114" s="29" t="e">
        <f>#REF!</f>
        <v>#REF!</v>
      </c>
      <c r="I114" s="29" t="e">
        <f>#REF!</f>
        <v>#REF!</v>
      </c>
      <c r="J114" s="29" t="e">
        <f>#REF!</f>
        <v>#REF!</v>
      </c>
      <c r="K114" s="29" t="e">
        <f>#REF!</f>
        <v>#REF!</v>
      </c>
      <c r="L114" s="29" t="e">
        <f>#REF!</f>
        <v>#REF!</v>
      </c>
      <c r="M114" s="245" t="s">
        <v>413</v>
      </c>
      <c r="N114" s="35"/>
    </row>
    <row r="115" spans="1:14" hidden="1" x14ac:dyDescent="0.25">
      <c r="A115" s="5" t="s">
        <v>63</v>
      </c>
      <c r="B115" s="81"/>
      <c r="C115" s="28"/>
      <c r="D115" s="28"/>
      <c r="E115" s="28"/>
      <c r="F115" s="28"/>
      <c r="G115" s="28"/>
      <c r="H115" s="28"/>
      <c r="I115" s="28"/>
      <c r="J115" s="28"/>
      <c r="K115" s="28"/>
      <c r="L115" s="28"/>
      <c r="M115" s="132"/>
      <c r="N115" s="35"/>
    </row>
    <row r="116" spans="1:14" hidden="1" x14ac:dyDescent="0.25">
      <c r="A116" s="84" t="s">
        <v>64</v>
      </c>
      <c r="B116" s="77" t="s">
        <v>199</v>
      </c>
      <c r="C116" s="28">
        <v>2.7231583871240757E-2</v>
      </c>
      <c r="D116" s="28">
        <v>6.0069243142107612E-2</v>
      </c>
      <c r="E116" s="28">
        <v>7.221104985622355E-2</v>
      </c>
      <c r="F116" s="28">
        <v>0.15928794784284833</v>
      </c>
      <c r="G116" s="28">
        <v>8.6653259827468271E-2</v>
      </c>
      <c r="H116" s="28">
        <v>0.19114553741141802</v>
      </c>
      <c r="I116" s="28">
        <v>0.15598954072599311</v>
      </c>
      <c r="J116" s="28">
        <v>0.34409212823611068</v>
      </c>
      <c r="K116" s="28">
        <v>0.17827376082970639</v>
      </c>
      <c r="L116" s="28">
        <v>0.39324814655555496</v>
      </c>
      <c r="M116" s="131" t="s">
        <v>198</v>
      </c>
      <c r="N116" s="35"/>
    </row>
    <row r="117" spans="1:14" hidden="1" x14ac:dyDescent="0.25">
      <c r="A117" s="84" t="s">
        <v>196</v>
      </c>
      <c r="B117" s="77" t="s">
        <v>199</v>
      </c>
      <c r="C117" s="28">
        <v>0.13993173246654608</v>
      </c>
      <c r="D117" s="28">
        <v>0.3086707442568718</v>
      </c>
      <c r="E117" s="28">
        <v>0.26066265362298341</v>
      </c>
      <c r="F117" s="28">
        <v>0.57498705887181834</v>
      </c>
      <c r="G117" s="28">
        <v>0.40603515156448039</v>
      </c>
      <c r="H117" s="28">
        <v>0.89565940633103525</v>
      </c>
      <c r="I117" s="28">
        <v>0.56415193613376724</v>
      </c>
      <c r="J117" s="28">
        <v>1.2444439508529392</v>
      </c>
      <c r="K117" s="28">
        <v>0.61922533725760553</v>
      </c>
      <c r="L117" s="28">
        <v>1.3659285306119766</v>
      </c>
      <c r="M117" s="131" t="s">
        <v>198</v>
      </c>
      <c r="N117" s="35"/>
    </row>
    <row r="118" spans="1:14" hidden="1" x14ac:dyDescent="0.25">
      <c r="A118" s="5" t="s">
        <v>65</v>
      </c>
      <c r="B118" s="81"/>
      <c r="C118" s="28"/>
      <c r="D118" s="28"/>
      <c r="E118" s="28"/>
      <c r="F118" s="28"/>
      <c r="G118" s="28"/>
      <c r="H118" s="28"/>
      <c r="I118" s="28"/>
      <c r="J118" s="28"/>
      <c r="K118" s="28"/>
      <c r="L118" s="28"/>
      <c r="M118" s="132"/>
      <c r="N118" s="35"/>
    </row>
    <row r="119" spans="1:14" hidden="1" x14ac:dyDescent="0.25">
      <c r="A119" s="84" t="s">
        <v>67</v>
      </c>
      <c r="B119" s="77" t="s">
        <v>199</v>
      </c>
      <c r="C119" s="28">
        <v>6.2140816833345464E-2</v>
      </c>
      <c r="D119" s="28">
        <v>0.16514543481629892</v>
      </c>
      <c r="E119" s="28">
        <v>7.7676021041681836E-2</v>
      </c>
      <c r="F119" s="28">
        <v>0.20643179352037366</v>
      </c>
      <c r="G119" s="28">
        <v>9.3211225250018195E-2</v>
      </c>
      <c r="H119" s="28">
        <v>0.24771815222444837</v>
      </c>
      <c r="I119" s="28">
        <v>0.10874642945835457</v>
      </c>
      <c r="J119" s="28">
        <v>0.28900451092852308</v>
      </c>
      <c r="K119" s="28">
        <v>0.12428163366669093</v>
      </c>
      <c r="L119" s="28">
        <v>0.33029086963259785</v>
      </c>
      <c r="M119" s="131" t="s">
        <v>198</v>
      </c>
      <c r="N119" s="35"/>
    </row>
    <row r="120" spans="1:14" hidden="1" x14ac:dyDescent="0.25">
      <c r="A120" s="84" t="s">
        <v>197</v>
      </c>
      <c r="B120" s="77" t="s">
        <v>199</v>
      </c>
      <c r="C120" s="28">
        <v>1.4552614868954362E-2</v>
      </c>
      <c r="D120" s="28">
        <v>2.8664770594541707E-2</v>
      </c>
      <c r="E120" s="28">
        <v>3.3820935737924614E-2</v>
      </c>
      <c r="F120" s="28">
        <v>6.6618224487514713E-2</v>
      </c>
      <c r="G120" s="28">
        <v>4.0585122885509535E-2</v>
      </c>
      <c r="H120" s="28">
        <v>7.9941869385017642E-2</v>
      </c>
      <c r="I120" s="28">
        <v>7.1138125670237848E-2</v>
      </c>
      <c r="J120" s="28">
        <v>0.14012313740352317</v>
      </c>
      <c r="K120" s="28">
        <v>8.1300715051700403E-2</v>
      </c>
      <c r="L120" s="28">
        <v>0.16014072846116933</v>
      </c>
      <c r="M120" s="131" t="s">
        <v>198</v>
      </c>
      <c r="N120" s="35"/>
    </row>
    <row r="121" spans="1:14" hidden="1" x14ac:dyDescent="0.25">
      <c r="A121" s="5" t="s">
        <v>69</v>
      </c>
      <c r="B121" s="81"/>
      <c r="C121" s="28"/>
      <c r="D121" s="28"/>
      <c r="E121" s="28"/>
      <c r="F121" s="28"/>
      <c r="G121" s="28"/>
      <c r="H121" s="28"/>
      <c r="I121" s="28"/>
      <c r="J121" s="28"/>
      <c r="K121" s="28"/>
      <c r="L121" s="28"/>
      <c r="M121" s="132"/>
      <c r="N121" s="35"/>
    </row>
    <row r="122" spans="1:14" hidden="1" x14ac:dyDescent="0.25">
      <c r="A122" s="5" t="s">
        <v>70</v>
      </c>
      <c r="B122" s="81"/>
      <c r="C122" s="28"/>
      <c r="D122" s="28"/>
      <c r="E122" s="28"/>
      <c r="F122" s="28"/>
      <c r="G122" s="28"/>
      <c r="H122" s="28"/>
      <c r="I122" s="28"/>
      <c r="J122" s="28"/>
      <c r="K122" s="28"/>
      <c r="L122" s="28"/>
      <c r="M122" s="132"/>
      <c r="N122" s="35"/>
    </row>
    <row r="123" spans="1:14" hidden="1" x14ac:dyDescent="0.25">
      <c r="A123" s="86" t="s">
        <v>71</v>
      </c>
      <c r="B123" s="87"/>
      <c r="C123" s="28"/>
      <c r="D123" s="28"/>
      <c r="E123" s="28"/>
      <c r="F123" s="28"/>
      <c r="G123" s="28"/>
      <c r="H123" s="28"/>
      <c r="I123" s="28"/>
      <c r="J123" s="28"/>
      <c r="K123" s="28"/>
      <c r="L123" s="28"/>
      <c r="M123" s="132"/>
      <c r="N123" s="35"/>
    </row>
    <row r="124" spans="1:14" hidden="1" x14ac:dyDescent="0.25">
      <c r="A124" s="84" t="s">
        <v>72</v>
      </c>
      <c r="B124" s="77" t="s">
        <v>199</v>
      </c>
      <c r="C124" s="28">
        <v>2.6976298890617898E-2</v>
      </c>
      <c r="D124" s="28">
        <v>5.1766168756151212E-2</v>
      </c>
      <c r="E124" s="28">
        <v>3.295231159662796E-2</v>
      </c>
      <c r="F124" s="28">
        <v>6.3233838338349224E-2</v>
      </c>
      <c r="G124" s="28">
        <v>4.5592134029955503E-2</v>
      </c>
      <c r="H124" s="28">
        <v>8.7489025596783121E-2</v>
      </c>
      <c r="I124" s="28">
        <v>6.0733508148132463E-2</v>
      </c>
      <c r="J124" s="28">
        <v>0.1165445654608588</v>
      </c>
      <c r="K124" s="28">
        <v>6.9409723597865666E-2</v>
      </c>
      <c r="L124" s="28">
        <v>0.13319378909812432</v>
      </c>
      <c r="M124" s="131" t="s">
        <v>198</v>
      </c>
      <c r="N124" s="35"/>
    </row>
    <row r="125" spans="1:14" hidden="1" x14ac:dyDescent="0.25">
      <c r="A125" s="23" t="s">
        <v>73</v>
      </c>
      <c r="B125" s="88" t="s">
        <v>203</v>
      </c>
      <c r="C125" s="28">
        <v>7.2666666666666671E-2</v>
      </c>
      <c r="D125" s="28">
        <v>0.18032959999999998</v>
      </c>
      <c r="E125" s="28">
        <v>9.0833333333333335E-2</v>
      </c>
      <c r="F125" s="28">
        <v>0.225412</v>
      </c>
      <c r="G125" s="28">
        <v>0.109</v>
      </c>
      <c r="H125" s="28">
        <v>0.27049440000000002</v>
      </c>
      <c r="I125" s="28">
        <v>0.20300000000000001</v>
      </c>
      <c r="J125" s="28">
        <v>0.50376480000000001</v>
      </c>
      <c r="K125" s="29">
        <v>0.23200000000000001</v>
      </c>
      <c r="L125" s="28">
        <v>0.5757312</v>
      </c>
      <c r="M125" s="130" t="s">
        <v>128</v>
      </c>
      <c r="N125" s="35" t="s">
        <v>134</v>
      </c>
    </row>
    <row r="127" spans="1:14" x14ac:dyDescent="0.25">
      <c r="A127" s="24" t="s">
        <v>81</v>
      </c>
    </row>
    <row r="128" spans="1:14" x14ac:dyDescent="0.25">
      <c r="A128" s="13" t="s">
        <v>128</v>
      </c>
    </row>
    <row r="129" spans="1:4" x14ac:dyDescent="0.25">
      <c r="A129" s="36" t="s">
        <v>202</v>
      </c>
      <c r="B129" s="78"/>
    </row>
    <row r="130" spans="1:4" x14ac:dyDescent="0.25">
      <c r="A130" s="124" t="s">
        <v>85</v>
      </c>
      <c r="B130" s="78"/>
    </row>
    <row r="131" spans="1:4" ht="45" x14ac:dyDescent="0.25">
      <c r="A131" s="238" t="s">
        <v>414</v>
      </c>
    </row>
    <row r="132" spans="1:4" x14ac:dyDescent="0.25">
      <c r="A132" s="89" t="s">
        <v>204</v>
      </c>
    </row>
    <row r="133" spans="1:4" x14ac:dyDescent="0.25">
      <c r="A133" s="89" t="s">
        <v>205</v>
      </c>
      <c r="D133" s="83"/>
    </row>
    <row r="134" spans="1:4" x14ac:dyDescent="0.25">
      <c r="A134" t="s">
        <v>206</v>
      </c>
      <c r="C134" t="s">
        <v>207</v>
      </c>
      <c r="D134" s="83"/>
    </row>
    <row r="135" spans="1:4" x14ac:dyDescent="0.25">
      <c r="D135" s="83"/>
    </row>
    <row r="136" spans="1:4" x14ac:dyDescent="0.25">
      <c r="D136" s="83"/>
    </row>
    <row r="137" spans="1:4" x14ac:dyDescent="0.25">
      <c r="D137" s="83"/>
    </row>
    <row r="138" spans="1:4" x14ac:dyDescent="0.25">
      <c r="D138" s="83"/>
    </row>
    <row r="139" spans="1:4" x14ac:dyDescent="0.25">
      <c r="D139" s="83"/>
    </row>
    <row r="140" spans="1:4" x14ac:dyDescent="0.25">
      <c r="D140" s="83"/>
    </row>
    <row r="141" spans="1:4" x14ac:dyDescent="0.25">
      <c r="D141" s="83"/>
    </row>
    <row r="142" spans="1:4" x14ac:dyDescent="0.25">
      <c r="D142" s="83"/>
    </row>
  </sheetData>
  <autoFilter ref="A1:N125" xr:uid="{00000000-0009-0000-0000-000008000000}">
    <filterColumn colId="0">
      <filters>
        <filter val="Betula spp."/>
        <filter val="Castanea sativa"/>
        <filter val="Eucalyptus globulus"/>
        <filter val="Pinus pinaster (Norte)"/>
        <filter val="Pinus radiata"/>
        <filter val="Pinus sylvestris"/>
        <filter val="Pseudotsuga menziesii"/>
        <filter val="Quercus robur"/>
      </filters>
    </filterColumn>
  </autoFilter>
  <mergeCells count="2">
    <mergeCell ref="A66:A67"/>
    <mergeCell ref="A80:A82"/>
  </mergeCells>
  <phoneticPr fontId="73"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Contenido e instrucciones</vt:lpstr>
      <vt:lpstr>1. Datos generales proyecto</vt:lpstr>
      <vt:lpstr>2. Estimación absorción total</vt:lpstr>
      <vt:lpstr>3. Absorciones disponibles</vt:lpstr>
      <vt:lpstr>4. Factores de absorción</vt:lpstr>
      <vt:lpstr>Revisiones calculadora </vt:lpstr>
      <vt:lpstr>Fuentes</vt:lpstr>
      <vt:lpstr>Calculadora Abs</vt:lpstr>
      <vt:lpstr>Total especies y métodos</vt:lpstr>
      <vt:lpstr>201 IFN3_D-t IFN1</vt:lpstr>
      <vt:lpstr>Montero 2014</vt:lpstr>
      <vt:lpstr>Comparativa Montero - IPCC</vt:lpstr>
      <vt:lpstr>Alt_diám tablas producc</vt:lpstr>
      <vt:lpstr>Q.ilex_Q.suber y Larix</vt:lpstr>
      <vt:lpstr>Descartes</vt:lpstr>
      <vt:lpstr>Asimilaciones</vt:lpstr>
      <vt:lpstr>Datos</vt:lpstr>
      <vt:lpstr>Todas metodologías</vt:lpstr>
    </vt:vector>
  </TitlesOfParts>
  <Company>Tragsatec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 Notario Lopez</dc:creator>
  <cp:lastModifiedBy>Marta González</cp:lastModifiedBy>
  <cp:lastPrinted>2014-12-03T13:39:33Z</cp:lastPrinted>
  <dcterms:created xsi:type="dcterms:W3CDTF">2014-04-15T11:04:30Z</dcterms:created>
  <dcterms:modified xsi:type="dcterms:W3CDTF">2021-11-23T12:46:05Z</dcterms:modified>
</cp:coreProperties>
</file>